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b28fhodPYcaFKQ4wFIIuc4a3cKE6VI5opLscCqpi0vmhPYwgz2xEveNP5jSsrcFov0r/WQ5X2l0lCMag1rH9kQ==" workbookSaltValue="bdQWvtu/Wplp5KJFK3TtB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BU20" i="17"/>
  <c r="BW29" i="20"/>
  <c r="BW22" i="20"/>
  <c r="BV29" i="16"/>
  <c r="BU17" i="17"/>
  <c r="T14" i="16"/>
  <c r="AA20" i="16"/>
  <c r="AZ17" i="11"/>
  <c r="BF20" i="11"/>
  <c r="S16" i="16"/>
  <c r="BL20" i="11"/>
  <c r="BL16" i="11"/>
  <c r="BH21" i="11"/>
  <c r="AZ25" i="11"/>
  <c r="AZ30" i="11" s="1"/>
  <c r="BK17" i="11"/>
  <c r="BM18" i="11"/>
  <c r="BH17" i="11"/>
  <c r="AQ12" i="21"/>
  <c r="BI22" i="11"/>
  <c r="BH25" i="11"/>
  <c r="BK10" i="11"/>
  <c r="BI21" i="11"/>
  <c r="T14" i="20"/>
  <c r="BF25" i="8"/>
  <c r="AY14" i="8"/>
  <c r="BG16" i="8"/>
  <c r="BD9" i="8"/>
  <c r="BF9" i="8"/>
  <c r="L22" i="2"/>
  <c r="C30" i="7"/>
  <c r="L29" i="2"/>
  <c r="L16" i="2"/>
  <c r="L17" i="2"/>
  <c r="X19" i="16"/>
  <c r="L18" i="2"/>
  <c r="AO14" i="21"/>
  <c r="L20" i="2"/>
  <c r="AA11" i="16"/>
  <c r="L21" i="2"/>
  <c r="AP14" i="16"/>
  <c r="AA9" i="16"/>
  <c r="V9" i="16"/>
  <c r="T23" i="17"/>
  <c r="T26" i="17" s="1"/>
  <c r="T30" i="17" s="1"/>
  <c r="BG16" i="13"/>
  <c r="BE17" i="13"/>
  <c r="BE16" i="13"/>
  <c r="G30" i="14"/>
  <c r="G23" i="14"/>
  <c r="X32" i="20"/>
  <c r="E23" i="12" l="1"/>
  <c r="BF17" i="8"/>
  <c r="BD12" i="8"/>
  <c r="H12" i="7" s="1"/>
  <c r="X13" i="16"/>
  <c r="V25" i="16"/>
  <c r="L9" i="2"/>
  <c r="U9" i="17"/>
  <c r="U31" i="17" s="1"/>
  <c r="L19" i="2"/>
  <c r="X10" i="21"/>
  <c r="L13" i="2"/>
  <c r="L25" i="2"/>
  <c r="L12" i="2"/>
  <c r="S17" i="17"/>
  <c r="S16" i="17"/>
  <c r="X21" i="20"/>
  <c r="L28" i="2"/>
  <c r="L10" i="2"/>
  <c r="BH22" i="11"/>
  <c r="BL17" i="11"/>
  <c r="BK22" i="11"/>
  <c r="BJ17" i="11"/>
  <c r="BH12" i="16"/>
  <c r="AO25" i="17"/>
  <c r="BL22" i="11"/>
  <c r="BF16" i="11"/>
  <c r="Q16" i="17"/>
  <c r="BJ10" i="11"/>
  <c r="BK20" i="11"/>
  <c r="BH25" i="16"/>
  <c r="BF12" i="11"/>
  <c r="P16" i="17"/>
  <c r="T17" i="11"/>
  <c r="X16" i="17"/>
  <c r="R28" i="14"/>
  <c r="AZ22" i="11"/>
  <c r="BV20" i="16"/>
  <c r="S11" i="17"/>
  <c r="BU18" i="17"/>
  <c r="BV10" i="16"/>
  <c r="U10" i="17"/>
  <c r="BW16" i="20"/>
  <c r="BW17" i="20"/>
  <c r="BU21" i="17"/>
  <c r="BU11" i="17"/>
  <c r="BJ28" i="11"/>
  <c r="AZ9" i="11"/>
  <c r="AZ14" i="11" s="1"/>
  <c r="AZ13" i="11"/>
  <c r="BI19" i="11"/>
  <c r="BI25" i="11"/>
  <c r="BG22" i="11"/>
  <c r="Q18" i="20"/>
  <c r="Q23" i="20" s="1"/>
  <c r="V16" i="11"/>
  <c r="Z14"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BV11" i="16"/>
  <c r="BU29" i="17"/>
  <c r="BV21" i="16"/>
  <c r="BW13" i="20"/>
  <c r="BV13" i="16"/>
  <c r="BV28" i="16"/>
  <c r="BU25" i="17"/>
  <c r="BG21" i="11"/>
  <c r="AP18" i="20"/>
  <c r="AP26" i="21"/>
  <c r="BG19" i="11"/>
  <c r="V20" i="11"/>
  <c r="AP16" i="20"/>
  <c r="BJ16" i="11"/>
  <c r="V9" i="11"/>
  <c r="BM12" i="11"/>
  <c r="V11" i="11"/>
  <c r="BK29" i="11"/>
  <c r="BG20" i="11"/>
  <c r="BF28" i="11"/>
  <c r="BH16" i="16"/>
  <c r="BF13" i="11"/>
  <c r="BH9" i="16"/>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H31" i="7"/>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<sst xmlns="http://schemas.openxmlformats.org/spreadsheetml/2006/main" count="2682" uniqueCount="1192">
  <si>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</si>
  <si>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</si>
  <si>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</si>
  <si>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</si>
  <si>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</si>
  <si>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</si>
  <si>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</si>
  <si>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</si>
  <si>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</si>
  <si>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</si>
  <si>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</si>
  <si>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</si>
  <si>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</si>
  <si>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</si>
  <si>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</si>
  <si>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</si>
  <si>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</si>
  <si>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</si>
  <si>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</si>
  <si>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</si>
  <si>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</si>
  <si>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</si>
  <si>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</si>
  <si>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</si>
  <si>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</si>
  <si>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</si>
  <si>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</si>
  <si>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</si>
  <si>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</si>
  <si>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</si>
  <si>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</si>
  <si>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</si>
  <si>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</si>
  <si>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</si>
  <si>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</si>
  <si>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</si>
  <si>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</si>
  <si>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</si>
  <si>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</si>
  <si>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</si>
  <si>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</si>
  <si>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</si>
  <si>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</si>
  <si>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</si>
  <si>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</si>
  <si>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</si>
  <si>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</si>
  <si>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</si>
  <si>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</si>
  <si>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</si>
  <si>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</si>
  <si>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</si>
  <si>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</si>
  <si>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</si>
  <si>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</si>
  <si>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</si>
  <si>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</si>
  <si>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</si>
  <si>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</si>
  <si>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</si>
  <si>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</si>
  <si>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</si>
  <si>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</si>
  <si>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</si>
  <si>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</si>
  <si>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</si>
  <si>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</si>
  <si>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</si>
  <si>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</si>
  <si>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</si>
  <si>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</si>
  <si>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</si>
  <si>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</si>
  <si>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</si>
  <si>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</si>
  <si>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</si>
  <si>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</si>
  <si>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</si>
  <si>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</si>
  <si>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</si>
  <si>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</si>
  <si>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</si>
  <si>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</si>
  <si>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</si>
  <si>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</si>
  <si>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</si>
  <si>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</si>
  <si>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</si>
  <si>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</si>
  <si>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</si>
  <si>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</si>
  <si>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</si>
  <si>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</si>
  <si>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</si>
  <si>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</si>
  <si>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</si>
  <si>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</si>
  <si>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</si>
  <si>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</si>
  <si>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</si>
  <si>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</si>
  <si>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</si>
  <si>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</si>
  <si>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</si>
  <si>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</si>
  <si>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</si>
  <si>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</si>
  <si>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</si>
  <si>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</si>
  <si>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</si>
  <si>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</si>
  <si>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</si>
  <si>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</si>
  <si>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</si>
  <si>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</si>
  <si>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</si>
  <si>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</si>
  <si>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</si>
  <si>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</si>
  <si>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</si>
  <si>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</si>
  <si>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</si>
  <si>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</si>
  <si>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</si>
  <si>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</si>
  <si>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</si>
  <si>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</si>
  <si>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</si>
  <si>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</si>
  <si>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</si>
  <si>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</si>
  <si>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</si>
  <si>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</si>
  <si>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</si>
  <si>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</si>
  <si>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</si>
  <si>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</si>
  <si>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</si>
  <si>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</si>
  <si>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</si>
  <si>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</si>
  <si>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</si>
  <si>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</si>
  <si>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</si>
  <si>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</si>
  <si>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</si>
  <si>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</si>
  <si>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</si>
  <si>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</si>
  <si>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</si>
  <si>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</si>
  <si>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</si>
  <si>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</si>
  <si>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</si>
  <si>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</si>
  <si>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</si>
  <si>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</si>
  <si>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</si>
  <si>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</si>
  <si>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</si>
  <si>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</si>
  <si>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</si>
  <si>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</si>
  <si>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</si>
  <si>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</si>
  <si>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</si>
  <si>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</si>
  <si>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</si>
  <si>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</si>
  <si>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</si>
  <si>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</si>
  <si>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</si>
  <si>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</si>
  <si>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</si>
  <si>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</si>
  <si>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</si>
  <si>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</si>
  <si>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</si>
  <si>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</si>
  <si>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</si>
  <si>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</si>
  <si>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</si>
  <si>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</si>
  <si>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</si>
  <si>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</si>
  <si>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</si>
  <si>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</si>
  <si>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</si>
  <si>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</si>
  <si>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</si>
  <si>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</si>
  <si>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</si>
  <si>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</si>
  <si>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</si>
  <si>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</si>
  <si>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</si>
  <si>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</si>
  <si>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</si>
  <si>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</si>
  <si>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</si>
  <si>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</si>
  <si>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</si>
  <si>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</si>
  <si>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</si>
  <si>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</si>
  <si>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</si>
  <si>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</si>
  <si>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</si>
  <si>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</si>
  <si>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</si>
  <si>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</si>
  <si>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</si>
  <si>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</si>
  <si>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</si>
  <si>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</si>
  <si>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</si>
  <si>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</si>
  <si>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</si>
  <si>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</si>
  <si>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</si>
  <si>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</si>
  <si>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</si>
  <si>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</si>
  <si>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</si>
  <si>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</si>
  <si>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</si>
  <si>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</si>
  <si>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</si>
  <si>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</si>
  <si>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</si>
  <si>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</si>
  <si>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</si>
  <si>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</si>
  <si>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</si>
  <si>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</si>
  <si>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</si>
  <si>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</si>
  <si>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</si>
  <si>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</si>
  <si>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</si>
  <si>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</si>
  <si>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</si>
  <si>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</si>
  <si>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</si>
  <si>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</si>
  <si>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</si>
  <si>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</si>
  <si>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</si>
  <si>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</si>
  <si>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</si>
  <si>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</si>
  <si>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</si>
  <si>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</si>
  <si>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</si>
  <si>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</si>
  <si>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</si>
  <si>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</si>
  <si>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</si>
  <si>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</si>
  <si>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</si>
  <si>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</si>
  <si>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</si>
  <si>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</si>
  <si>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</si>
  <si>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</si>
  <si>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</si>
  <si>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</si>
  <si>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</si>
  <si>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</si>
  <si>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</si>
  <si>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</si>
  <si>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</si>
  <si>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</si>
  <si>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</si>
  <si>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</si>
  <si>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</si>
  <si>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</si>
  <si>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</si>
  <si>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</si>
  <si>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</si>
  <si>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</si>
  <si>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</si>
  <si>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</si>
  <si>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</si>
  <si>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</si>
  <si>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</si>
  <si>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</si>
  <si>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</si>
  <si>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</si>
  <si>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</si>
  <si>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</si>
  <si>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</si>
  <si>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</si>
  <si>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</si>
  <si>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</si>
  <si>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</si>
  <si>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</si>
  <si>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</si>
  <si>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</si>
  <si>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</si>
  <si>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</si>
  <si>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</si>
  <si>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</si>
  <si>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</si>
  <si>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</si>
  <si>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</si>
  <si>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</si>
  <si>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</si>
  <si>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</si>
  <si>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</si>
  <si>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</si>
  <si>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</si>
  <si>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</si>
  <si>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</si>
  <si>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</si>
  <si>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</si>
  <si>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</si>
  <si>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</si>
  <si>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</si>
  <si>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</si>
  <si>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</si>
  <si>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</si>
  <si>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</si>
  <si>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</si>
  <si>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</si>
  <si>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</si>
  <si>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</si>
  <si>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</si>
  <si>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</si>
  <si>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</si>
  <si>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</si>
  <si>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</si>
  <si>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</si>
  <si>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</si>
  <si>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</si>
  <si>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</si>
  <si>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</si>
  <si>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</si>
  <si>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</si>
  <si>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</si>
  <si>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</si>
  <si>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</si>
  <si>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</si>
  <si>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</si>
  <si>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</si>
  <si>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</si>
  <si>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</si>
  <si>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</si>
  <si>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</si>
  <si>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</si>
  <si>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</si>
  <si>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</si>
  <si>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</si>
  <si>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</si>
  <si>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</si>
  <si>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</si>
  <si>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</si>
  <si>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</si>
  <si>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</si>
  <si>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</si>
  <si>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</si>
  <si>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</si>
  <si>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</si>
  <si>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</si>
  <si>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</si>
  <si>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</si>
  <si>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</si>
  <si>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</si>
  <si>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</si>
  <si>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</si>
  <si>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</si>
  <si>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</si>
  <si>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</si>
  <si>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</si>
  <si>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</si>
  <si>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</si>
  <si>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</si>
  <si>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</si>
  <si>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</si>
  <si>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</si>
  <si>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</si>
  <si>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</si>
  <si>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</si>
  <si>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</si>
  <si>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</si>
  <si>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</si>
  <si>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</si>
  <si>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</si>
  <si>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</si>
  <si>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</si>
  <si>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</si>
  <si>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</si>
  <si>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</si>
  <si>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</si>
  <si>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</si>
  <si>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</si>
  <si>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</si>
  <si>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</si>
  <si>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</si>
  <si>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</si>
  <si>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</si>
  <si>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</si>
  <si>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</si>
  <si>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</si>
  <si>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</si>
  <si>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</si>
  <si>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</si>
  <si>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</si>
  <si>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</si>
  <si>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</si>
  <si>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</si>
  <si>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</si>
  <si>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</si>
  <si>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</si>
  <si>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</si>
  <si>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</si>
  <si>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</si>
  <si>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</si>
  <si>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</si>
  <si>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</si>
  <si>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</si>
  <si>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</si>
  <si>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</si>
  <si>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</si>
  <si>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</si>
  <si>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</si>
  <si>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</si>
  <si>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</si>
  <si>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</si>
  <si>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</si>
  <si>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</si>
  <si>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</si>
  <si>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</si>
  <si>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</si>
  <si>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</si>
  <si>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</si>
  <si>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</si>
  <si>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</si>
  <si>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</si>
  <si>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</si>
  <si>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</si>
  <si>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</si>
  <si>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</si>
  <si>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</si>
  <si>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</si>
  <si>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</si>
  <si>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</si>
  <si>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</si>
  <si>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</si>
  <si>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</si>
  <si>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</si>
  <si>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</si>
  <si>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</si>
  <si>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</si>
  <si>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</si>
  <si>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</si>
  <si>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</si>
  <si>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</si>
  <si>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</si>
  <si>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</si>
  <si>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</si>
  <si>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</si>
  <si>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</si>
  <si>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</si>
  <si>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</si>
  <si>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</si>
  <si>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</si>
  <si>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</si>
  <si>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</si>
  <si>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</si>
  <si>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</si>
  <si>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</si>
  <si>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</si>
  <si>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</si>
  <si>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</si>
  <si>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</si>
  <si>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</si>
  <si>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</si>
  <si>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</si>
  <si>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</si>
  <si>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</si>
  <si>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</si>
  <si>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</si>
  <si>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</si>
  <si>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</si>
  <si>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</si>
  <si>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</si>
  <si>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</si>
  <si>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</si>
  <si>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</si>
  <si>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</si>
  <si>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</si>
  <si>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</si>
  <si>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</si>
  <si>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</si>
  <si>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</si>
  <si>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</si>
  <si>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</si>
  <si>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</si>
  <si>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</si>
  <si>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</si>
  <si>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</si>
  <si>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</si>
  <si>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</si>
  <si>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</si>
  <si>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</si>
  <si>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</si>
  <si>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</si>
  <si>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</si>
  <si>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</si>
  <si>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</si>
  <si>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</si>
  <si>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</si>
  <si>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</si>
  <si>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</si>
  <si>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</si>
  <si>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</si>
  <si>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</si>
  <si>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</si>
  <si>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</si>
  <si>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</si>
  <si>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</si>
  <si>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</si>
  <si>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</si>
  <si>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</si>
  <si>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</si>
  <si>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</si>
  <si>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</si>
  <si>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</si>
  <si>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</si>
  <si>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</si>
  <si>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</si>
  <si>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</si>
  <si>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</si>
  <si>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</si>
  <si>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</si>
  <si>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</si>
  <si>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</si>
  <si>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</si>
  <si>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</si>
  <si>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</si>
  <si>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</si>
  <si>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</si>
  <si>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</si>
  <si>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</si>
  <si>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</si>
  <si>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</si>
  <si>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</si>
  <si>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</si>
  <si>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</si>
  <si>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</si>
  <si>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</si>
  <si>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</si>
  <si>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</si>
  <si>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</si>
  <si>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</si>
  <si>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</si>
  <si>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</si>
  <si>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</si>
  <si>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</si>
  <si>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</si>
  <si>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</si>
  <si>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</si>
  <si>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</si>
  <si>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</si>
  <si>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</si>
  <si>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</si>
  <si>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</si>
  <si>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</si>
  <si>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</si>
  <si>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</si>
  <si>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</si>
  <si>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</si>
  <si>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</si>
  <si>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</si>
  <si>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</si>
  <si>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</si>
  <si>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</si>
  <si>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</si>
  <si>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</si>
  <si>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</si>
  <si>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</si>
  <si>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</si>
  <si>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</si>
  <si>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</si>
  <si>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</si>
  <si>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</si>
  <si>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</si>
  <si>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</si>
  <si>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</si>
  <si>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</si>
  <si>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</si>
  <si>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</si>
  <si>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</si>
  <si>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</si>
  <si>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</si>
  <si>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</si>
  <si>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</si>
  <si>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</si>
  <si>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</si>
  <si>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</si>
  <si>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</si>
  <si>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</si>
  <si>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</si>
  <si>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</si>
  <si>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</si>
  <si>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</si>
  <si>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</si>
  <si>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</si>
  <si>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</si>
  <si>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</si>
  <si>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</si>
  <si>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</si>
  <si>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</si>
  <si>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</si>
  <si>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</si>
  <si>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</si>
  <si>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</si>
  <si>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</si>
  <si>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</si>
  <si>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</si>
  <si>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</si>
  <si>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</si>
  <si>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</si>
  <si>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</si>
  <si>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</si>
  <si>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</si>
  <si>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</si>
  <si>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</si>
  <si>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</si>
  <si>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</si>
  <si>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</si>
  <si>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</si>
  <si>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</si>
  <si>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</si>
  <si>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</si>
  <si>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</si>
  <si>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</si>
  <si>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</si>
  <si>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</si>
  <si>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</si>
  <si>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</si>
  <si>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</si>
  <si>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</si>
  <si>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</si>
  <si>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</si>
  <si>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</si>
  <si>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</si>
  <si>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</si>
  <si>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</si>
  <si>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</si>
  <si>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</si>
  <si>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</si>
  <si>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</si>
  <si>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</si>
  <si>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</si>
  <si>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</si>
  <si>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</si>
  <si>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</si>
  <si>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</si>
  <si>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</si>
  <si>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</si>
  <si>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</si>
  <si>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</si>
  <si>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</si>
  <si>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</si>
  <si>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</si>
  <si>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</si>
  <si>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</si>
  <si>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</si>
  <si>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</si>
  <si>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</si>
  <si>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</si>
  <si>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</si>
  <si>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</si>
  <si>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</si>
  <si>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</si>
  <si>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</si>
  <si>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</si>
  <si>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</si>
  <si>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</si>
  <si>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</si>
  <si>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</si>
  <si>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</si>
  <si>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</si>
  <si>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</si>
  <si>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</si>
  <si>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</si>
  <si>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</si>
  <si>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</si>
  <si>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</si>
  <si>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</si>
  <si>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</si>
  <si>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</si>
  <si>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</si>
  <si>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</si>
  <si>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</si>
  <si>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</si>
  <si>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</si>
  <si>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</si>
  <si>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</si>
  <si>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</si>
  <si>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</si>
  <si>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</si>
  <si>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</si>
  <si>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</si>
  <si>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</si>
  <si>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</si>
  <si>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</si>
  <si>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</si>
  <si>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</si>
  <si>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</si>
  <si>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</si>
  <si>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</si>
  <si>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</si>
  <si>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</si>
  <si>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</si>
  <si>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</si>
  <si>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</si>
  <si>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</si>
  <si>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</si>
  <si>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</si>
  <si>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</si>
  <si>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</si>
  <si>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</si>
  <si>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</si>
  <si>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</si>
  <si>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</si>
  <si>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</si>
  <si>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</si>
  <si>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</si>
  <si>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</si>
  <si>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</si>
  <si>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</si>
  <si>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</si>
  <si>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</si>
  <si>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</si>
  <si>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</si>
  <si>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</si>
  <si>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</si>
  <si>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</si>
  <si>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</si>
  <si>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</si>
  <si>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</si>
  <si>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</si>
  <si>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</si>
  <si>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</si>
  <si>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</si>
  <si>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</si>
  <si>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</si>
  <si>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</si>
  <si>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</si>
  <si>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</si>
  <si>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</si>
  <si>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</si>
  <si>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</si>
  <si>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</si>
  <si>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</si>
  <si>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</si>
  <si>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</si>
  <si>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</si>
  <si>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</si>
  <si>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</si>
  <si>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</si>
  <si>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</si>
  <si>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</si>
  <si>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</si>
  <si>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</si>
  <si>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</si>
  <si>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</si>
  <si>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</si>
  <si>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</si>
  <si>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</si>
  <si>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</si>
  <si>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</si>
  <si>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</si>
  <si>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</si>
  <si>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</si>
  <si>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</si>
  <si>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</si>
  <si>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</si>
  <si>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</si>
  <si>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</si>
  <si>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</si>
  <si>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</si>
  <si>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</si>
  <si>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</si>
  <si>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</si>
  <si>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</si>
  <si>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</si>
  <si>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</si>
  <si>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</si>
  <si>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</si>
  <si>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</si>
  <si>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</si>
  <si>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</si>
  <si>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</si>
  <si>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</si>
  <si>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</si>
  <si>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</si>
  <si>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</si>
  <si>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</si>
  <si>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</si>
  <si>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</si>
  <si>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</si>
  <si>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</si>
  <si>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</si>
  <si>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</si>
  <si>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</si>
  <si>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</si>
  <si>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</si>
  <si>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</si>
  <si>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</si>
  <si>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</si>
  <si>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</si>
  <si>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</si>
  <si>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</si>
  <si>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</si>
  <si>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</si>
  <si>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</si>
  <si>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</si>
  <si>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</si>
  <si>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</si>
  <si>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</si>
  <si>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</si>
  <si>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</si>
  <si>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</si>
  <si>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</si>
  <si>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</si>
  <si>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</si>
  <si>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</si>
  <si>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</si>
  <si>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</si>
  <si>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</si>
  <si>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</si>
  <si>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</si>
  <si>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</si>
  <si>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</si>
  <si>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</si>
  <si>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</si>
  <si>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</si>
  <si>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</si>
  <si>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</si>
  <si>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</si>
  <si>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</si>
  <si>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</si>
  <si>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</si>
  <si>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</si>
  <si>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</si>
  <si>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</si>
  <si>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</si>
  <si>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</si>
  <si>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</si>
  <si>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</si>
  <si>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</si>
  <si>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</si>
  <si>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</si>
  <si>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</si>
  <si>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</si>
  <si>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</si>
  <si>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</si>
  <si>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</si>
  <si>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</si>
  <si>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</si>
  <si>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</si>
  <si>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</si>
  <si>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</si>
  <si>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</si>
  <si>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</si>
  <si>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</si>
  <si>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</si>
  <si>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</si>
  <si>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</si>
  <si>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</si>
  <si>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</si>
  <si>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</si>
  <si>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</si>
  <si>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</si>
  <si>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</si>
  <si>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</si>
  <si>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</si>
  <si>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</si>
  <si>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</si>
  <si>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</si>
  <si>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</si>
  <si>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</si>
  <si>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</si>
  <si>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</si>
  <si>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</si>
  <si>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</si>
  <si>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</si>
  <si>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</si>
  <si>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</si>
  <si>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</si>
  <si>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</si>
  <si>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</si>
  <si>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</si>
  <si>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</si>
  <si>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</si>
  <si>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</si>
  <si>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</si>
  <si>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</si>
  <si>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</si>
  <si>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</si>
  <si>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</si>
  <si>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</si>
  <si>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</si>
  <si>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</si>
  <si>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</si>
  <si>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</si>
  <si>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</si>
  <si>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</si>
  <si>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</si>
  <si>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</si>
  <si>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</si>
  <si>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</si>
  <si>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</si>
  <si>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</si>
  <si>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</si>
  <si>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</si>
  <si>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</si>
  <si>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</si>
  <si>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</si>
  <si>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</si>
  <si>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</si>
  <si>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</si>
  <si>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</si>
  <si>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</si>
  <si>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</si>
  <si>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</si>
  <si>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</si>
  <si>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</si>
  <si>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</si>
  <si>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</si>
  <si>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</si>
  <si>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</si>
  <si>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</si>
  <si>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</si>
  <si>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</si>
  <si>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</si>
  <si>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</si>
  <si>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</si>
  <si>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</si>
  <si>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</si>
  <si>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</si>
  <si>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</si>
  <si>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</si>
  <si>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</si>
  <si>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</si>
  <si>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</si>
  <si>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</si>
  <si>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</si>
  <si>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</si>
  <si>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</si>
  <si>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</si>
  <si>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</si>
  <si>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</si>
  <si>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</si>
  <si>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</si>
  <si>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</si>
  <si>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</si>
  <si>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</si>
  <si>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</si>
  <si>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</si>
  <si>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</si>
  <si>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</si>
  <si>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</si>
  <si>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</si>
  <si>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</si>
  <si>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</si>
  <si>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</si>
  <si>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</si>
  <si>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</si>
  <si>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</si>
  <si>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</si>
  <si>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</si>
  <si>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</si>
  <si>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</si>
  <si>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</si>
  <si>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</si>
  <si>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</si>
  <si>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</si>
  <si>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</si>
  <si>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</si>
  <si>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</si>
  <si>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</si>
  <si>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</si>
  <si>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</si>
  <si>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</si>
  <si>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</si>
  <si>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</si>
  <si>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</si>
  <si>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</si>
  <si>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</si>
  <si>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</si>
  <si>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</si>
  <si>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</si>
  <si>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</si>
  <si>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</si>
  <si>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</si>
  <si>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</si>
  <si>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</si>
  <si>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</si>
  <si>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</si>
  <si>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</si>
  <si>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</si>
  <si>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</si>
  <si>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</si>
  <si>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</si>
  <si>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</si>
  <si>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</si>
  <si>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</si>
  <si>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</si>
  <si>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</si>
  <si>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</si>
  <si>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</si>
  <si>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</si>
  <si>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</si>
  <si>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</si>
  <si>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</si>
  <si>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</si>
  <si>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</si>
  <si>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</si>
  <si>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</si>
  <si>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</si>
  <si>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</si>
  <si>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</si>
  <si>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</si>
  <si>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</si>
  <si>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</si>
  <si>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</si>
  <si>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</si>
  <si>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</si>
  <si>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</si>
  <si>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</si>
  <si>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</si>
  <si>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</si>
  <si>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</si>
  <si>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</si>
  <si>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</si>
  <si>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</si>
  <si>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</si>
  <si>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</si>
  <si>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</si>
  <si>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</si>
  <si>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</si>
  <si>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</si>
  <si>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</si>
  <si>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</si>
  <si>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</si>
  <si>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</si>
  <si>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</si>
  <si>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</si>
  <si>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</si>
  <si>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</si>
  <si>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</si>
  <si>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</si>
  <si>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</si>
  <si>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</si>
  <si>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</si>
  <si>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</si>
  <si>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</si>
  <si>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</si>
  <si>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</si>
  <si>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</si>
  <si>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</si>
  <si>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</si>
  <si>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</si>
  <si>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</si>
  <si>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</si>
  <si>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</si>
  <si>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</si>
  <si>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</si>
  <si>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</si>
  <si>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</si>
  <si>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</si>
  <si>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</si>
  <si>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</si>
  <si>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</si>
  <si>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</si>
  <si>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</si>
  <si>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</si>
  <si>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</si>
  <si>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</si>
  <si>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</si>
  <si>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</si>
  <si>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</si>
  <si>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</si>
  <si>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</si>
  <si>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</si>
  <si>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</si>
  <si>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</si>
  <si>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</si>
  <si>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</si>
  <si>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</si>
  <si>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</si>
  <si>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</si>
  <si>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</si>
  <si>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</si>
  <si>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</si>
  <si>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</si>
  <si>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</si>
  <si>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</si>
  <si>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</si>
  <si>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</si>
  <si>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</si>
  <si>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</si>
  <si>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</si>
  <si>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</si>
  <si>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</si>
  <si>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</si>
  <si>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</si>
  <si>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</si>
  <si>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</si>
  <si>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</si>
  <si>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</si>
  <si>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</si>
  <si>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</si>
  <si>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</si>
  <si>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</si>
  <si>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</si>
  <si>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</si>
  <si>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</si>
  <si>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</si>
  <si>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</si>
  <si>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</si>
  <si>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</si>
  <si>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</si>
  <si>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</si>
  <si>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</si>
  <si>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</si>
  <si>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</si>
  <si>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</si>
  <si>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</si>
  <si>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</si>
  <si>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</si>
  <si>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</si>
  <si>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</si>
  <si>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</si>
  <si>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</si>
  <si>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</si>
  <si>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</si>
  <si>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</si>
  <si>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</si>
  <si>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</si>
  <si>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</si>
  <si>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</si>
  <si>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</si>
  <si>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</si>
  <si>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</si>
  <si>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</si>
  <si>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</si>
  <si>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</si>
  <si>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</si>
  <si>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</si>
  <si>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</si>
  <si>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</si>
  <si>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</si>
  <si>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</si>
  <si>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</si>
  <si>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</si>
  <si>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</si>
  <si>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</si>
  <si>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</si>
  <si>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</si>
  <si>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</si>
  <si>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</si>
  <si>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</si>
  <si>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</si>
  <si>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</si>
  <si>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</si>
  <si>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</si>
  <si>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</si>
  <si>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</si>
  <si>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</si>
  <si>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</si>
  <si>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</si>
  <si>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</si>
  <si>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</si>
  <si>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</si>
  <si>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</si>
  <si>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</si>
  <si>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</si>
  <si>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</si>
  <si>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</si>
  <si>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</si>
  <si>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</si>
  <si>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</si>
  <si>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</si>
  <si>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</si>
  <si>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</si>
  <si>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COSLADA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</si>
</sst>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zY9cCLNb4LLjnrTEFkmZoHD8khKuv9zrvz8xF/HpiLOEIsHTc70KCxKNLGrdDkB2NI/srjgq5teS2eFY51xvw==" saltValue="iqqWYAo/yxD/9g16ipse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41</v>
      </c>
      <c r="D10" s="239">
        <f>IF(ISNUMBER(Datos!I10),Datos!I10," - ")</f>
        <v>41</v>
      </c>
      <c r="E10" s="240">
        <f>IF(ISNUMBER(Datos!J10),Datos!J10," - ")</f>
        <v>95</v>
      </c>
      <c r="F10" s="240">
        <f>IF(ISNUMBER(Datos!K10),Datos!K10," - ")</f>
        <v>109</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-0.34146341463414637</v>
      </c>
      <c r="L10" s="1402">
        <f>IF(ISNUMBER(NºAsuntos!I10/NºAsuntos!G10),(NºAsuntos!I10/NºAsuntos!G10)*11," - ")</f>
        <v>2.7247706422018352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8.8086822237474269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v>
      </c>
      <c r="D14" s="1407">
        <f>SUBTOTAL(9,D9:D13)</f>
        <v>41</v>
      </c>
      <c r="E14" s="1408">
        <f>SUBTOTAL(9,E9:E13)</f>
        <v>95</v>
      </c>
      <c r="F14" s="1409">
        <f>SUBTOTAL(9,F9:F13)</f>
        <v>109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1494</v>
      </c>
      <c r="D17" s="239">
        <f>IF(ISNUMBER(IF(D_I="SI",Datos!I17,Datos!I17+Datos!AC17)),IF(D_I="SI",Datos!I17,Datos!I17+Datos!AC17)," - ")</f>
        <v>1358</v>
      </c>
      <c r="E17" s="240">
        <f>IF(ISNUMBER(IF(D_I="SI",Datos!J17,Datos!J17+Datos!AD17)),IF(D_I="SI",Datos!J17,Datos!J17+Datos!AD17)," - ")</f>
        <v>8509</v>
      </c>
      <c r="F17" s="240">
        <f>IF(ISNUMBER(IF(D_I="SI",Datos!K17,Datos!K17+Datos!AE17)),IF(D_I="SI",Datos!K17,Datos!K17+Datos!AE17)," - ")</f>
        <v>8203</v>
      </c>
      <c r="G17" s="1390" t="str">
        <f>IF(Datos!E17&lt;&gt;"",Datos!E17,Datos!D17)</f>
        <v>04</v>
      </c>
      <c r="H17" s="241">
        <f>IF(ISNUMBER(IF(D_I="SI",Datos!L17,Datos!L17+Datos!AF17)),IF(D_I="SI",Datos!L17,Datos!L17+Datos!AF17)," - ")</f>
        <v>1800</v>
      </c>
      <c r="I17" s="1400" t="str">
        <f>IF(ISNUMBER(Datos!AS17/Datos!BM17),Datos!AS17/Datos!BM17," - ")</f>
        <v xml:space="preserve"> - </v>
      </c>
      <c r="J17" s="1401">
        <f>IF(ISNUMBER(Datos!BY17/Datos!CN17),Datos!BY17/Datos!CN17," - ")</f>
        <v>0</v>
      </c>
      <c r="K17" s="244">
        <f t="shared" si="3"/>
        <v>0.20481927710843373</v>
      </c>
      <c r="L17" s="1402">
        <f>IF(ISNUMBER(NºAsuntos!I17/NºAsuntos!G17),(NºAsuntos!I17/NºAsuntos!G17)*11," - ")</f>
        <v>2.4137510666829209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57</v>
      </c>
      <c r="D18" s="239">
        <f>IF(ISNUMBER(IF(D_I="SI",Datos!I18,Datos!I18+Datos!AC18)),IF(D_I="SI",Datos!I18,Datos!I18+Datos!AC18)," - ")</f>
        <v>56</v>
      </c>
      <c r="E18" s="240">
        <f>IF(ISNUMBER(IF(D_I="SI",Datos!J18,Datos!J18+Datos!AD18)),IF(D_I="SI",Datos!J18,Datos!J18+Datos!AD18)," - ")</f>
        <v>1099</v>
      </c>
      <c r="F18" s="240">
        <f>IF(ISNUMBER(IF(D_I="SI",Datos!K18,Datos!K18+Datos!AE18)),IF(D_I="SI",Datos!K18,Datos!K18+Datos!AE18)," - ")</f>
        <v>1110</v>
      </c>
      <c r="G18" s="1390" t="str">
        <f>IF(Datos!E18&lt;&gt;"",Datos!E18,Datos!D18)</f>
        <v>37</v>
      </c>
      <c r="H18" s="241">
        <f>IF(ISNUMBER(IF(D_I="SI",Datos!L18,Datos!L18+Datos!AF18)),IF(D_I="SI",Datos!L18,Datos!L18+Datos!AF18)," - ")</f>
        <v>46</v>
      </c>
      <c r="I18" s="1400" t="str">
        <f>IF(ISNUMBER(Datos!AS18/Datos!BM18),Datos!AS18/Datos!BM18," - ")</f>
        <v xml:space="preserve"> - </v>
      </c>
      <c r="J18" s="1401" t="str">
        <f>IF(ISNUMBER((Datos!BY18+Datos!BZ18)/Datos!CN18),(Datos!BY18+Datos!BZ18)/Datos!CN18," - ")</f>
        <v xml:space="preserve"> - </v>
      </c>
      <c r="K18" s="244">
        <f t="shared" si="3"/>
        <v>-0.19298245614035087</v>
      </c>
      <c r="L18" s="1402">
        <f>IF(ISNUMBER(NºAsuntos!I18/NºAsuntos!G18),(NºAsuntos!I18/NºAsuntos!G18)*11," - ")</f>
        <v>0.45585585585585586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1551</v>
      </c>
      <c r="D23" s="1407">
        <f>SUBTOTAL(9,D16:D22)</f>
        <v>1414</v>
      </c>
      <c r="E23" s="1408">
        <f>SUBTOTAL(9,E16:E22)</f>
        <v>9608</v>
      </c>
      <c r="F23" s="1408">
        <f>SUBTOTAL(9,F16:F22)</f>
        <v>9313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1592</v>
      </c>
      <c r="D31" s="1435">
        <f>SUBTOTAL(9,D9:D30)</f>
        <v>1455</v>
      </c>
      <c r="E31" s="1436">
        <f>SUBTOTAL(9,E9:E30)</f>
        <v>9703</v>
      </c>
      <c r="F31" s="1436">
        <f>SUBTOTAL(9,F9:F30)</f>
        <v>9422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wOIG2q8vhvijtMVr6qWtbM6ZTjGWRdyfvD5S+vzZwa7XdgrdMhpe5Qkg4WGgdhGqEuASYBnPzarVlPw6cynGAg==" saltValue="Qa2HsH29qVMVmMGvBaWQO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NH7RiiQuiEOKORxNBSe7JxFyPeUfLZZsbOud8DwxvVhxGwlJRcDoNpOWGntJD7K07kiAWqv01nQXZkxRTQ/6g==" saltValue="N1husmb38oKtH8niloce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v>
      </c>
      <c r="J10" s="194">
        <v>95</v>
      </c>
      <c r="K10" s="194">
        <v>109</v>
      </c>
      <c r="L10" s="194">
        <v>27</v>
      </c>
      <c r="M10" s="194">
        <v>40</v>
      </c>
      <c r="N10" s="194">
        <v>77</v>
      </c>
      <c r="O10" s="194">
        <v>17</v>
      </c>
      <c r="P10" s="194">
        <v>27</v>
      </c>
      <c r="Q10" s="194">
        <v>36</v>
      </c>
      <c r="R10" s="194">
        <v>54</v>
      </c>
      <c r="S10" s="194">
        <v>81</v>
      </c>
      <c r="T10" s="194">
        <v>117</v>
      </c>
      <c r="U10" s="194">
        <v>157</v>
      </c>
      <c r="V10" s="194">
        <v>41</v>
      </c>
      <c r="W10" s="194">
        <v>59</v>
      </c>
      <c r="X10" s="201">
        <v>58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81</v>
      </c>
      <c r="AZ10" s="139">
        <f t="shared" si="0"/>
        <v>117</v>
      </c>
      <c r="BA10" s="139">
        <f t="shared" si="0"/>
        <v>157</v>
      </c>
      <c r="BB10" s="139">
        <f t="shared" si="0"/>
        <v>41</v>
      </c>
      <c r="BC10" s="135">
        <f t="shared" si="0"/>
        <v>59</v>
      </c>
      <c r="BD10" s="136">
        <f>IF(ISNUMBER(BA10/AZ10),BA10/AZ10," - ")</f>
        <v>1.3418803418803418</v>
      </c>
      <c r="BE10" s="137">
        <f>IF(ISNUMBER(BB10/BA10),BB10/BA10, " - ")</f>
        <v>0.26114649681528662</v>
      </c>
      <c r="BF10" s="137">
        <f>IF(ISNUMBER(BC10/BA10),BC10/BA10, " - ")</f>
        <v>0.37579617834394907</v>
      </c>
      <c r="BG10" s="209">
        <f>IF(ISNUMBER((AY10+AZ10)/BA10),(AY10+AZ10)/BA10," - ")</f>
        <v>1.2611464968152866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3111</v>
      </c>
      <c r="J12" s="196">
        <v>6641</v>
      </c>
      <c r="K12" s="196">
        <v>5265</v>
      </c>
      <c r="L12" s="196">
        <v>4487</v>
      </c>
      <c r="M12" s="196">
        <v>1103</v>
      </c>
      <c r="N12" s="196">
        <v>2956</v>
      </c>
      <c r="O12" s="194">
        <v>1913</v>
      </c>
      <c r="P12" s="196">
        <v>1272</v>
      </c>
      <c r="Q12" s="196">
        <v>885</v>
      </c>
      <c r="R12" s="196">
        <v>6212</v>
      </c>
      <c r="S12" s="196">
        <v>3254</v>
      </c>
      <c r="T12" s="196">
        <v>6017</v>
      </c>
      <c r="U12" s="196">
        <v>6083</v>
      </c>
      <c r="V12" s="196">
        <v>3111</v>
      </c>
      <c r="W12" s="196">
        <v>1274</v>
      </c>
      <c r="X12" s="202">
        <v>3489</v>
      </c>
      <c r="Y12" s="204">
        <v>125</v>
      </c>
      <c r="Z12" s="194">
        <v>597</v>
      </c>
      <c r="AA12" s="194">
        <v>563</v>
      </c>
      <c r="AB12" s="194">
        <v>180</v>
      </c>
      <c r="AC12" s="196">
        <v>0</v>
      </c>
      <c r="AD12" s="196">
        <v>0</v>
      </c>
      <c r="AE12" s="196">
        <v>0</v>
      </c>
      <c r="AF12" s="202">
        <v>0</v>
      </c>
      <c r="AG12" s="215">
        <v>145</v>
      </c>
      <c r="AH12" s="196">
        <v>613</v>
      </c>
      <c r="AI12" s="196">
        <v>629</v>
      </c>
      <c r="AJ12" s="216">
        <v>125</v>
      </c>
      <c r="AK12" s="195">
        <v>0</v>
      </c>
      <c r="AL12" s="196">
        <v>0</v>
      </c>
      <c r="AM12" s="196">
        <v>0</v>
      </c>
      <c r="AN12" s="202">
        <v>0</v>
      </c>
      <c r="AO12" s="283">
        <v>6</v>
      </c>
      <c r="AP12" s="168">
        <v>6</v>
      </c>
      <c r="AQ12" s="168">
        <v>6</v>
      </c>
      <c r="AR12" s="167">
        <v>6</v>
      </c>
      <c r="AS12" s="381" t="s">
        <v>1075</v>
      </c>
      <c r="AT12" s="216"/>
      <c r="AU12" s="215"/>
      <c r="AV12" s="216"/>
      <c r="AW12" s="215"/>
      <c r="AX12" s="216"/>
      <c r="AY12" s="136">
        <f t="shared" si="1"/>
        <v>3399</v>
      </c>
      <c r="AZ12" s="137">
        <f t="shared" si="1"/>
        <v>6630</v>
      </c>
      <c r="BA12" s="137">
        <f t="shared" si="1"/>
        <v>6712</v>
      </c>
      <c r="BB12" s="137">
        <f t="shared" si="1"/>
        <v>3236</v>
      </c>
      <c r="BC12" s="135">
        <f>IF(ISNUMBER(X12),X12," - ")</f>
        <v>3489</v>
      </c>
      <c r="BD12" s="136">
        <f t="shared" si="2"/>
        <v>1.01236802413273</v>
      </c>
      <c r="BE12" s="137">
        <f t="shared" si="3"/>
        <v>0.48212157330154948</v>
      </c>
      <c r="BF12" s="137">
        <f t="shared" si="4"/>
        <v>0.5198152562574494</v>
      </c>
      <c r="BG12" s="209">
        <f t="shared" si="5"/>
        <v>1.4941895113230035</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3152</v>
      </c>
      <c r="J14" s="197">
        <f t="shared" si="7"/>
        <v>6736</v>
      </c>
      <c r="K14" s="197">
        <f t="shared" si="7"/>
        <v>5374</v>
      </c>
      <c r="L14" s="197">
        <f t="shared" si="7"/>
        <v>4514</v>
      </c>
      <c r="M14" s="197">
        <f t="shared" si="7"/>
        <v>1143</v>
      </c>
      <c r="N14" s="197">
        <f t="shared" si="7"/>
        <v>3033</v>
      </c>
      <c r="O14" s="197">
        <f t="shared" si="7"/>
        <v>1930</v>
      </c>
      <c r="P14" s="197">
        <f t="shared" si="7"/>
        <v>1299</v>
      </c>
      <c r="Q14" s="197">
        <f t="shared" si="7"/>
        <v>921</v>
      </c>
      <c r="R14" s="197">
        <f t="shared" si="7"/>
        <v>6266</v>
      </c>
      <c r="S14" s="197">
        <f t="shared" si="7"/>
        <v>3335</v>
      </c>
      <c r="T14" s="197">
        <f t="shared" si="7"/>
        <v>6134</v>
      </c>
      <c r="U14" s="197">
        <f t="shared" si="7"/>
        <v>6240</v>
      </c>
      <c r="V14" s="197">
        <f t="shared" si="7"/>
        <v>3152</v>
      </c>
      <c r="W14" s="197">
        <f t="shared" si="7"/>
        <v>1333</v>
      </c>
      <c r="X14" s="197">
        <f t="shared" si="7"/>
        <v>3547</v>
      </c>
      <c r="Y14" s="197">
        <f t="shared" si="7"/>
        <v>125</v>
      </c>
      <c r="Z14" s="197">
        <f t="shared" si="7"/>
        <v>597</v>
      </c>
      <c r="AA14" s="197">
        <f t="shared" si="7"/>
        <v>563</v>
      </c>
      <c r="AB14" s="197">
        <f t="shared" si="7"/>
        <v>180</v>
      </c>
      <c r="AC14" s="197">
        <f t="shared" si="7"/>
        <v>0</v>
      </c>
      <c r="AD14" s="197">
        <f t="shared" si="7"/>
        <v>0</v>
      </c>
      <c r="AE14" s="197">
        <f t="shared" si="7"/>
        <v>0</v>
      </c>
      <c r="AF14" s="197">
        <f>SUBTOTAL(9,AF9:AF13)</f>
        <v>0</v>
      </c>
      <c r="AG14" s="197">
        <f t="shared" ref="AG14:AT14" si="8">SUBTOTAL(9,AG8:AG13)</f>
        <v>145</v>
      </c>
      <c r="AH14" s="197">
        <f t="shared" si="8"/>
        <v>613</v>
      </c>
      <c r="AI14" s="197">
        <f t="shared" si="8"/>
        <v>629</v>
      </c>
      <c r="AJ14" s="197">
        <f t="shared" si="8"/>
        <v>125</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3480</v>
      </c>
      <c r="AZ14" s="197">
        <f>SUBTOTAL(9,AZ8:AZ13)</f>
        <v>6747</v>
      </c>
      <c r="BA14" s="197">
        <f>SUBTOTAL(9,BA8:BA13)</f>
        <v>6869</v>
      </c>
      <c r="BB14" s="197">
        <f>SUBTOTAL(9,BB8:BB13)</f>
        <v>3277</v>
      </c>
      <c r="BC14" s="197">
        <f>SUBTOTAL(9,BC8:BC13)</f>
        <v>3548</v>
      </c>
      <c r="BD14" s="219">
        <f>IF(ISNUMBER(BA14/AZ14),BA14/AZ14," - ")</f>
        <v>1.0180821105676596</v>
      </c>
      <c r="BE14" s="220">
        <f>IF(ISNUMBER(BB14/BA14),BB14/BA14, " - ")</f>
        <v>0.47707089823846266</v>
      </c>
      <c r="BF14" s="220">
        <f>IF(ISNUMBER(BC14/BA14),BC14/BA14, " - ")</f>
        <v>0.51652351142815545</v>
      </c>
      <c r="BG14" s="221">
        <f>IF(ISNUMBER((AY14+AZ14)/BA14),(AY14+AZ14)/BA14," - ")</f>
        <v>1.4888630077158247</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1358</v>
      </c>
      <c r="J17" s="196">
        <v>8509</v>
      </c>
      <c r="K17" s="196">
        <v>8203</v>
      </c>
      <c r="L17" s="196">
        <v>1800</v>
      </c>
      <c r="M17" s="196">
        <v>716</v>
      </c>
      <c r="N17" s="196">
        <v>5307</v>
      </c>
      <c r="O17" s="194">
        <v>35</v>
      </c>
      <c r="P17" s="196">
        <v>234</v>
      </c>
      <c r="Q17" s="196">
        <v>179</v>
      </c>
      <c r="R17" s="196">
        <v>290</v>
      </c>
      <c r="S17" s="196">
        <v>1659</v>
      </c>
      <c r="T17" s="196">
        <v>8025</v>
      </c>
      <c r="U17" s="196">
        <v>8525</v>
      </c>
      <c r="V17" s="196">
        <v>1358</v>
      </c>
      <c r="W17" s="196">
        <v>884</v>
      </c>
      <c r="X17" s="202">
        <v>5394</v>
      </c>
      <c r="Y17" s="215">
        <v>0</v>
      </c>
      <c r="Z17" s="196">
        <v>0</v>
      </c>
      <c r="AA17" s="196">
        <v>0</v>
      </c>
      <c r="AB17" s="196">
        <v>0</v>
      </c>
      <c r="AC17" s="196">
        <v>4</v>
      </c>
      <c r="AD17" s="196">
        <v>107</v>
      </c>
      <c r="AE17" s="196">
        <v>99</v>
      </c>
      <c r="AF17" s="202">
        <v>12</v>
      </c>
      <c r="AG17" s="215">
        <v>0</v>
      </c>
      <c r="AH17" s="196">
        <v>0</v>
      </c>
      <c r="AI17" s="196">
        <v>0</v>
      </c>
      <c r="AJ17" s="216">
        <v>0</v>
      </c>
      <c r="AK17" s="195">
        <v>1</v>
      </c>
      <c r="AL17" s="196">
        <v>89</v>
      </c>
      <c r="AM17" s="196">
        <v>86</v>
      </c>
      <c r="AN17" s="202">
        <v>4</v>
      </c>
      <c r="AO17" s="283">
        <v>6</v>
      </c>
      <c r="AP17" s="168">
        <v>6</v>
      </c>
      <c r="AQ17" s="168">
        <v>6</v>
      </c>
      <c r="AR17" s="168">
        <v>6</v>
      </c>
      <c r="AS17" s="381" t="s">
        <v>650</v>
      </c>
      <c r="AT17" s="216"/>
      <c r="AU17" s="215"/>
      <c r="AV17" s="216"/>
      <c r="AW17" s="215"/>
      <c r="AX17" s="216"/>
      <c r="AY17" s="136">
        <f t="shared" si="10"/>
        <v>1659</v>
      </c>
      <c r="AZ17" s="137">
        <f t="shared" si="10"/>
        <v>8025</v>
      </c>
      <c r="BA17" s="137">
        <f t="shared" si="10"/>
        <v>8525</v>
      </c>
      <c r="BB17" s="137">
        <f t="shared" si="10"/>
        <v>1358</v>
      </c>
      <c r="BC17" s="135">
        <f>IF(ISNUMBER(W17),W17," - ")</f>
        <v>884</v>
      </c>
      <c r="BD17" s="136">
        <f t="shared" ref="BD17:BD22" si="12">IF(ISNUMBER(BA17/AZ17),BA17/AZ17," - ")</f>
        <v>1.0623052959501558</v>
      </c>
      <c r="BE17" s="137">
        <f t="shared" ref="BE17:BE22" si="13">IF(ISNUMBER(BB17/BA17),BB17/BA17, " - ")</f>
        <v>0.15929618768328446</v>
      </c>
      <c r="BF17" s="137">
        <f t="shared" ref="BF17:BF22" si="14">IF(ISNUMBER(BC17/BA17),BC17/BA17, " - ")</f>
        <v>0.1036950146627566</v>
      </c>
      <c r="BG17" s="209">
        <f t="shared" si="11"/>
        <v>1.1359530791788857</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56</v>
      </c>
      <c r="J18" s="196">
        <v>1099</v>
      </c>
      <c r="K18" s="196">
        <v>1110</v>
      </c>
      <c r="L18" s="196">
        <v>46</v>
      </c>
      <c r="M18" s="196">
        <v>59</v>
      </c>
      <c r="N18" s="196">
        <v>710</v>
      </c>
      <c r="O18" s="196">
        <v>1</v>
      </c>
      <c r="P18" s="196">
        <v>7</v>
      </c>
      <c r="Q18" s="196">
        <v>2</v>
      </c>
      <c r="R18" s="196">
        <v>6</v>
      </c>
      <c r="S18" s="196">
        <v>144</v>
      </c>
      <c r="T18" s="196">
        <v>1105</v>
      </c>
      <c r="U18" s="196">
        <v>1195</v>
      </c>
      <c r="V18" s="196">
        <v>56</v>
      </c>
      <c r="W18" s="196">
        <v>49</v>
      </c>
      <c r="X18" s="202">
        <v>783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144</v>
      </c>
      <c r="AZ18" s="139">
        <f t="shared" si="15"/>
        <v>1105</v>
      </c>
      <c r="BA18" s="139">
        <f t="shared" si="15"/>
        <v>1195</v>
      </c>
      <c r="BB18" s="139">
        <f t="shared" si="15"/>
        <v>56</v>
      </c>
      <c r="BC18" s="135">
        <f>IF(ISNUMBER(W18),W18," - ")</f>
        <v>49</v>
      </c>
      <c r="BD18" s="136">
        <f>IF(ISNUMBER(BA18/AZ18),BA18/AZ18," - ")</f>
        <v>1.0814479638009049</v>
      </c>
      <c r="BE18" s="137">
        <f>IF(ISNUMBER(BB18/BA18),BB18/BA18, " - ")</f>
        <v>4.686192468619247E-2</v>
      </c>
      <c r="BF18" s="137">
        <f>IF(ISNUMBER(BC18/BA18),BC18/BA18, " - ")</f>
        <v>4.1004184100418409E-2</v>
      </c>
      <c r="BG18" s="209">
        <f>IF(ISNUMBER((AY18+AZ18)/BA18),(AY18+AZ18)/BA18," - ")</f>
        <v>1.0451882845188285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1414</v>
      </c>
      <c r="J23" s="197">
        <f t="shared" si="21"/>
        <v>9608</v>
      </c>
      <c r="K23" s="197">
        <f t="shared" si="21"/>
        <v>9313</v>
      </c>
      <c r="L23" s="197">
        <f t="shared" si="21"/>
        <v>1846</v>
      </c>
      <c r="M23" s="197">
        <f t="shared" si="21"/>
        <v>775</v>
      </c>
      <c r="N23" s="197">
        <f t="shared" si="21"/>
        <v>6017</v>
      </c>
      <c r="O23" s="197">
        <f t="shared" si="21"/>
        <v>36</v>
      </c>
      <c r="P23" s="197">
        <f t="shared" si="21"/>
        <v>241</v>
      </c>
      <c r="Q23" s="197">
        <f t="shared" si="21"/>
        <v>181</v>
      </c>
      <c r="R23" s="197">
        <f t="shared" si="21"/>
        <v>296</v>
      </c>
      <c r="S23" s="197">
        <f t="shared" si="21"/>
        <v>1803</v>
      </c>
      <c r="T23" s="197">
        <f t="shared" si="21"/>
        <v>9130</v>
      </c>
      <c r="U23" s="197">
        <f t="shared" si="21"/>
        <v>9720</v>
      </c>
      <c r="V23" s="197">
        <f t="shared" si="21"/>
        <v>1414</v>
      </c>
      <c r="W23" s="197">
        <f t="shared" si="21"/>
        <v>933</v>
      </c>
      <c r="X23" s="197">
        <f t="shared" si="21"/>
        <v>6177</v>
      </c>
      <c r="Y23" s="197">
        <f t="shared" si="21"/>
        <v>0</v>
      </c>
      <c r="Z23" s="197">
        <f t="shared" si="21"/>
        <v>0</v>
      </c>
      <c r="AA23" s="197">
        <f t="shared" si="21"/>
        <v>0</v>
      </c>
      <c r="AB23" s="197">
        <f t="shared" si="21"/>
        <v>0</v>
      </c>
      <c r="AC23" s="197">
        <f t="shared" si="21"/>
        <v>4</v>
      </c>
      <c r="AD23" s="197">
        <f t="shared" si="21"/>
        <v>107</v>
      </c>
      <c r="AE23" s="197">
        <f t="shared" si="21"/>
        <v>99</v>
      </c>
      <c r="AF23" s="197">
        <f t="shared" si="21"/>
        <v>12</v>
      </c>
      <c r="AG23" s="197">
        <f t="shared" si="21"/>
        <v>0</v>
      </c>
      <c r="AH23" s="197">
        <f t="shared" si="21"/>
        <v>0</v>
      </c>
      <c r="AI23" s="197">
        <f t="shared" si="21"/>
        <v>0</v>
      </c>
      <c r="AJ23" s="197">
        <f t="shared" si="21"/>
        <v>0</v>
      </c>
      <c r="AK23" s="197">
        <f t="shared" si="21"/>
        <v>1</v>
      </c>
      <c r="AL23" s="197">
        <f t="shared" si="21"/>
        <v>89</v>
      </c>
      <c r="AM23" s="197">
        <f t="shared" si="21"/>
        <v>86</v>
      </c>
      <c r="AN23" s="197">
        <f t="shared" si="21"/>
        <v>4</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1803</v>
      </c>
      <c r="AZ23" s="197">
        <f>SUBTOTAL(9,AZ15:AZ22)</f>
        <v>9130</v>
      </c>
      <c r="BA23" s="197">
        <f>SUBTOTAL(9,BA15:BA22)</f>
        <v>9720</v>
      </c>
      <c r="BB23" s="197">
        <f>SUBTOTAL(9,BB15:BB22)</f>
        <v>1414</v>
      </c>
      <c r="BC23" s="197">
        <f>SUBTOTAL(9,BC15:BC22)</f>
        <v>933</v>
      </c>
      <c r="BD23" s="219">
        <f>IF(ISNUMBER(BA23/AZ23),BA23/AZ23," - ")</f>
        <v>1.0646221248630887</v>
      </c>
      <c r="BE23" s="220">
        <f>IF(ISNUMBER(BB23/BA23),BB23/BA23, " - ")</f>
        <v>0.14547325102880659</v>
      </c>
      <c r="BF23" s="220">
        <f>IF(ISNUMBER(BC23/BA23),BC23/BA23, " - ")</f>
        <v>9.5987654320987659E-2</v>
      </c>
      <c r="BG23" s="221">
        <f>IF(ISNUMBER((AY23+AZ23)/BA23),(AY23+AZ23)/BA23," - ")</f>
        <v>1.1247942386831276</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4566</v>
      </c>
      <c r="J31" s="144">
        <f t="shared" si="36"/>
        <v>16344</v>
      </c>
      <c r="K31" s="144">
        <f t="shared" si="36"/>
        <v>14687</v>
      </c>
      <c r="L31" s="144">
        <f t="shared" si="36"/>
        <v>6360</v>
      </c>
      <c r="M31" s="144">
        <f t="shared" si="36"/>
        <v>1918</v>
      </c>
      <c r="N31" s="144">
        <f t="shared" si="36"/>
        <v>9050</v>
      </c>
      <c r="O31" s="144">
        <f t="shared" si="36"/>
        <v>1966</v>
      </c>
      <c r="P31" s="144">
        <f t="shared" si="36"/>
        <v>1540</v>
      </c>
      <c r="Q31" s="144">
        <f t="shared" si="36"/>
        <v>1102</v>
      </c>
      <c r="R31" s="144">
        <f t="shared" si="36"/>
        <v>6562</v>
      </c>
      <c r="S31" s="144">
        <f t="shared" si="36"/>
        <v>5138</v>
      </c>
      <c r="T31" s="144">
        <f t="shared" si="36"/>
        <v>15264</v>
      </c>
      <c r="U31" s="144">
        <f t="shared" si="36"/>
        <v>15960</v>
      </c>
      <c r="V31" s="144">
        <f t="shared" si="36"/>
        <v>4566</v>
      </c>
      <c r="W31" s="144">
        <f t="shared" si="36"/>
        <v>2266</v>
      </c>
      <c r="X31" s="144">
        <f t="shared" si="36"/>
        <v>9724</v>
      </c>
      <c r="Y31" s="144">
        <f t="shared" si="36"/>
        <v>125</v>
      </c>
      <c r="Z31" s="144">
        <f t="shared" si="36"/>
        <v>597</v>
      </c>
      <c r="AA31" s="144">
        <f t="shared" si="36"/>
        <v>563</v>
      </c>
      <c r="AB31" s="144">
        <f t="shared" si="36"/>
        <v>180</v>
      </c>
      <c r="AC31" s="144">
        <f t="shared" si="36"/>
        <v>4</v>
      </c>
      <c r="AD31" s="144">
        <f t="shared" si="36"/>
        <v>107</v>
      </c>
      <c r="AE31" s="144">
        <f t="shared" si="36"/>
        <v>99</v>
      </c>
      <c r="AF31" s="144">
        <f t="shared" si="36"/>
        <v>12</v>
      </c>
      <c r="AG31" s="144">
        <f t="shared" si="36"/>
        <v>145</v>
      </c>
      <c r="AH31" s="144">
        <f t="shared" si="36"/>
        <v>613</v>
      </c>
      <c r="AI31" s="144">
        <f t="shared" si="36"/>
        <v>629</v>
      </c>
      <c r="AJ31" s="144">
        <f t="shared" si="36"/>
        <v>125</v>
      </c>
      <c r="AK31" s="144">
        <f t="shared" si="36"/>
        <v>1</v>
      </c>
      <c r="AL31" s="144">
        <f t="shared" si="36"/>
        <v>89</v>
      </c>
      <c r="AM31" s="144">
        <f t="shared" si="36"/>
        <v>86</v>
      </c>
      <c r="AN31" s="224">
        <f t="shared" si="36"/>
        <v>4</v>
      </c>
      <c r="AO31" s="225">
        <v>7</v>
      </c>
      <c r="AP31" s="225">
        <v>7</v>
      </c>
      <c r="AQ31" s="225">
        <v>7</v>
      </c>
      <c r="AR31" s="225">
        <v>7</v>
      </c>
      <c r="AS31" s="166">
        <f t="shared" si="36"/>
        <v>0</v>
      </c>
      <c r="AT31" s="166">
        <f t="shared" si="36"/>
        <v>0</v>
      </c>
      <c r="AU31" s="225"/>
      <c r="AV31" s="226"/>
      <c r="AW31" s="225"/>
      <c r="AX31" s="226"/>
      <c r="AY31" s="143">
        <f>SUBTOTAL(9,AY9:AY30)</f>
        <v>5283</v>
      </c>
      <c r="AZ31" s="144">
        <f>SUBTOTAL(9,AZ9:AZ30)</f>
        <v>15877</v>
      </c>
      <c r="BA31" s="144">
        <f>SUBTOTAL(9,BA9:BA30)</f>
        <v>16589</v>
      </c>
      <c r="BB31" s="144">
        <f>SUBTOTAL(9,BB9:BB30)</f>
        <v>4691</v>
      </c>
      <c r="BC31" s="145">
        <f>SUBTOTAL(9,BC9:BC30)</f>
        <v>4481</v>
      </c>
      <c r="BD31" s="227">
        <f>IF(ISNUMBER(BA31/AZ31),BA31/AZ31," - ")</f>
        <v>1.0448447439692636</v>
      </c>
      <c r="BE31" s="224">
        <f>IF(ISNUMBER(BB31/BA31),BB31/BA31, " - ")</f>
        <v>0.28277774428838387</v>
      </c>
      <c r="BF31" s="224">
        <f>IF(ISNUMBER(BC31/BA31),BC31/BA31, " - ")</f>
        <v>0.27011875339080116</v>
      </c>
      <c r="BG31" s="145">
        <f>IF(ISNUMBER((AY31+AZ31)/BA31),(AY31+AZ31)/BA31," - ")</f>
        <v>1.2755440352040508</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3fDUxcF/pPBNTqyTMVMqm5meM0WB+YS8XdKe1lUQ3WP8FksgC/CLAb+6Q/i7UCN4E5nKqNLMqcH5xvOawOGJA==" saltValue="yyZYqVUk4ZFM9yAm7rIVH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iIj41z6++dQGTUXyDZ4HLng/0V/u1dxw3leiYe+dGE76PIT8Bgm1ww+RGcFyOvof9pEo2J5u0nIYzGAM1v/IQ==" saltValue="8RrJyyOYMNICf61nqU7Sr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COSLADA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41</v>
      </c>
      <c r="G10" s="543">
        <f>IF(ISNUMBER(Datos!I10),Datos!I10," - ")</f>
        <v>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109</v>
      </c>
      <c r="AC10" s="547">
        <f>IF(ISNUMBER(Datos!Q10),Datos!Q10," - ")</f>
        <v>36</v>
      </c>
      <c r="AD10" s="549"/>
      <c r="AE10" s="563"/>
      <c r="AF10" s="551">
        <f>IF(ISNUMBER(Datos!L10),Datos!L10,"-")</f>
        <v>27</v>
      </c>
      <c r="AG10" s="549"/>
      <c r="AH10" s="549"/>
      <c r="AI10" s="549"/>
      <c r="AJ10" s="549"/>
      <c r="AK10" s="549"/>
      <c r="AL10" s="550"/>
      <c r="AM10" s="766">
        <f>IF(ISNUMBER(Datos!R10),Datos!R10," - ")</f>
        <v>54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40</v>
      </c>
      <c r="BD10" s="693">
        <f>IF(ISNUMBER(Datos!N10),Datos!N10," - ")</f>
        <v>77</v>
      </c>
      <c r="BE10" s="693" t="str">
        <f>IF(ISNUMBER(Datos!BW10),Datos!BW10," - ")</f>
        <v xml:space="preserve"> - </v>
      </c>
      <c r="BF10" s="762" t="str">
        <f>IF(ISNUMBER(Datos!BX10),Datos!BX10," - ")</f>
        <v xml:space="preserve"> - </v>
      </c>
      <c r="BG10" s="763">
        <f>IF(ISNUMBER(Datos!K10/Datos!J10),Datos!K10/Datos!J10," - ")</f>
        <v>1.1473684210526316</v>
      </c>
      <c r="BH10" s="764">
        <f>IF(ISNUMBER(((Datos!L10/Datos!K10)*11)/factor_trimestre),((Datos!L10/Datos!K10)*11)/factor_trimestre," - ")</f>
        <v>2.7247706422018352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-0.14285714285714285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597</v>
      </c>
      <c r="O12" s="549"/>
      <c r="P12" s="549"/>
      <c r="Q12" s="547">
        <f>IF(ISNUMBER(Datos!P12),Datos!P12,0)</f>
        <v>1272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885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180</v>
      </c>
      <c r="AI12" s="549" t="str">
        <f>IF(ISNUMBER(Datos!CD12),Datos!CD12,"-")</f>
        <v>-</v>
      </c>
      <c r="AJ12" s="549" t="str">
        <f>IF(ISNUMBER(Datos!EN12),Datos!EN12," - ")</f>
        <v xml:space="preserve"> - </v>
      </c>
      <c r="AK12" s="549"/>
      <c r="AL12" s="550"/>
      <c r="AM12" s="766">
        <f>IF(ISNUMBER(Datos!R12),Datos!R12," - ")</f>
        <v>6212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1103</v>
      </c>
      <c r="BD12" s="693">
        <f>IF(ISNUMBER(Datos!N12),Datos!N12," - ")</f>
        <v>2956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0.80519480519480524</v>
      </c>
      <c r="BH12" s="764">
        <f>IF(ISNUMBER(((IF(J_V="SI",Datos!L12/Datos!K12,(Datos!L12+Datos!AB12)/(Datos!K12+Datos!AA12)))*11)/factor_trimestre),((IF(J_V="SI",Datos!L12/Datos!K12,(Datos!L12+Datos!AB12)/(Datos!K12+Datos!AA12)))*11)/factor_trimestre," - ")</f>
        <v>8.8086822237474269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6.6437768240343351E-2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7</v>
      </c>
      <c r="F14" s="1197">
        <f t="shared" si="1"/>
        <v>41</v>
      </c>
      <c r="G14" s="1197">
        <f t="shared" si="1"/>
        <v>41</v>
      </c>
      <c r="H14" s="1198">
        <f t="shared" si="1"/>
        <v>0</v>
      </c>
      <c r="I14" s="1197">
        <f t="shared" si="1"/>
        <v>0</v>
      </c>
      <c r="J14" s="1164">
        <f t="shared" si="1"/>
        <v>0</v>
      </c>
      <c r="K14" s="1164">
        <f t="shared" si="1"/>
        <v>0</v>
      </c>
      <c r="L14" s="1198">
        <f t="shared" si="1"/>
        <v>0</v>
      </c>
      <c r="M14" s="1198">
        <f t="shared" si="1"/>
        <v>0</v>
      </c>
      <c r="N14" s="1198">
        <f t="shared" si="1"/>
        <v>597</v>
      </c>
      <c r="O14" s="1199">
        <f t="shared" si="1"/>
        <v>0</v>
      </c>
      <c r="P14" s="1199">
        <f t="shared" si="1"/>
        <v>0</v>
      </c>
      <c r="Q14" s="1198">
        <f t="shared" si="1"/>
        <v>1299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109</v>
      </c>
      <c r="AC14" s="1198">
        <f t="shared" si="2"/>
        <v>921</v>
      </c>
      <c r="AD14" s="1198">
        <f t="shared" si="2"/>
        <v>0</v>
      </c>
      <c r="AE14" s="1198">
        <f t="shared" si="2"/>
        <v>0</v>
      </c>
      <c r="AF14" s="1198">
        <f t="shared" si="2"/>
        <v>27</v>
      </c>
      <c r="AG14" s="1198">
        <f t="shared" si="2"/>
        <v>0</v>
      </c>
      <c r="AH14" s="1198">
        <f t="shared" si="2"/>
        <v>180</v>
      </c>
      <c r="AI14" s="1198">
        <f t="shared" si="2"/>
        <v>0</v>
      </c>
      <c r="AJ14" s="1198">
        <f t="shared" si="2"/>
        <v>0</v>
      </c>
      <c r="AK14" s="1198">
        <f t="shared" si="2"/>
        <v>0</v>
      </c>
      <c r="AL14" s="1198">
        <f t="shared" si="2"/>
        <v>0</v>
      </c>
      <c r="AM14" s="1198">
        <f t="shared" si="2"/>
        <v>6266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1143</v>
      </c>
      <c r="BD14" s="1198">
        <f t="shared" si="2"/>
        <v>3033</v>
      </c>
      <c r="BE14" s="1198">
        <f t="shared" si="2"/>
        <v>0</v>
      </c>
      <c r="BF14" s="1198">
        <f t="shared" si="2"/>
        <v>0</v>
      </c>
      <c r="BG14" s="1198">
        <f>IF(ISNUMBER(Datos!K14/Datos!J14),Datos!K14/Datos!J14," - ")</f>
        <v>0.7978028503562945</v>
      </c>
      <c r="BH14" s="1202">
        <f>IF(ISNUMBER(((Datos!L14/Datos!K14)*11)/factor_trimestre),((Datos!L14/Datos!K14)*11)/factor_trimestre," - ")</f>
        <v>9.2396724972087831</v>
      </c>
      <c r="BI14" s="1198">
        <f>IF(ISNUMBER('Resol  Asuntos'!D14/NºAsuntos!G14),'Resol  Asuntos'!D14/NºAsuntos!G14," - ")</f>
        <v>0.19252147549267307</v>
      </c>
      <c r="BJ14" s="1198" t="str">
        <f>IF(ISNUMBER(Datos!CI14/Datos!CJ14),Datos!CI14/Datos!CJ14," - ")</f>
        <v xml:space="preserve"> - </v>
      </c>
      <c r="BK14" s="1198">
        <f>SUBTOTAL(9,BK8:BK13)</f>
        <v>0</v>
      </c>
      <c r="BL14" s="1198">
        <f>IF(ISNUMBER((I14-AB14+L14)/(F14)),(I14-AB14+L14)/(F14)," - ")</f>
        <v>-2.6585365853658538</v>
      </c>
      <c r="BM14" s="1203">
        <f>SUBTOTAL(9,BM9:BM13)</f>
        <v>-7.6419374616799499E-2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1494</v>
      </c>
      <c r="G17" s="743">
        <f>IF(ISNUMBER(IF(D_I="SI",Datos!I17,Datos!I17+Datos!AC17)),IF(D_I="SI",Datos!I17,Datos!I17+Datos!AC17)," - ")</f>
        <v>1358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8203</v>
      </c>
      <c r="AC17" s="240">
        <f>IF(ISNUMBER(Datos!Q17),Datos!Q17," - ")</f>
        <v>179</v>
      </c>
      <c r="AD17" s="374"/>
      <c r="AE17" s="562"/>
      <c r="AF17" s="741">
        <f>IF(ISNUMBER(IF(D_I="SI",Datos!L17,Datos!L17+Datos!AF17)),IF(D_I="SI",Datos!L17,Datos!L17+Datos!AF17)," - ")</f>
        <v>1800</v>
      </c>
      <c r="AG17" s="374"/>
      <c r="AH17" s="374"/>
      <c r="AI17" s="374"/>
      <c r="AJ17" s="549"/>
      <c r="AK17" s="374"/>
      <c r="AL17" s="545"/>
      <c r="AM17" s="375">
        <f>IF(ISNUMBER(Datos!R17),Datos!R17," - ")</f>
        <v>290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716</v>
      </c>
      <c r="BD17" s="243">
        <f>IF(ISNUMBER(Datos!N17),Datos!N17," - ")</f>
        <v>5307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0.964038077329886</v>
      </c>
      <c r="BH17" s="764">
        <f>IF(ISNUMBER(((IF(D_I="SI",Datos!L17/Datos!K17,(Datos!L17+Datos!AF17)/(Datos!K17+Datos!AE17)))*11)/factor_trimestre),((IF(D_I="SI",Datos!L17/Datos!K17,(Datos!L17+Datos!AF17)/(Datos!K17+Datos!AE17)))*11)/factor_trimestre," - ")</f>
        <v>2.4137510666829209</v>
      </c>
      <c r="BI17" s="266">
        <f>IF(ISNUMBER('Resol  Asuntos'!D17/NºAsuntos!G17),'Resol  Asuntos'!D17/NºAsuntos!G17," - ")</f>
        <v>8.728513958307936E-2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1110</v>
      </c>
      <c r="AC18" s="547">
        <f>IF(ISNUMBER(Datos!Q18),Datos!Q18," - ")</f>
        <v>2</v>
      </c>
      <c r="AD18" s="549"/>
      <c r="AE18" s="562"/>
      <c r="AF18" s="551">
        <f>IF(ISNUMBER(Datos!L18),Datos!L18,"-")</f>
        <v>46</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59</v>
      </c>
      <c r="BD18" s="693">
        <f>IF(ISNUMBER(Datos!N18),Datos!N18," - ")</f>
        <v>710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1.0100090991810737</v>
      </c>
      <c r="BH18" s="764">
        <f>IF(ISNUMBER(((IF(D_I="SI",Datos!L18/Datos!K18,(Datos!L18+Datos!AF18)/(Datos!K18+Datos!AE18)))*11)/factor_trimestre),((IF(D_I="SI",Datos!L18/Datos!K18,(Datos!L18+Datos!AF18)/(Datos!K18+Datos!AE18)))*11)/factor_trimestre," - ")</f>
        <v>0.45585585585585586</v>
      </c>
      <c r="BI18" s="763">
        <f>IF(ISNUMBER('Resol  Asuntos'!D18/NºAsuntos!G18),'Resol  Asuntos'!D18/NºAsuntos!G18," - ")</f>
        <v>5.3153153153153151E-2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7</v>
      </c>
      <c r="F23" s="1197">
        <f>SUBTOTAL(9,F16:F22)</f>
        <v>1494</v>
      </c>
      <c r="G23" s="1197">
        <f>SUBTOTAL(9,G16:G22)</f>
        <v>1414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9313</v>
      </c>
      <c r="AC23" s="1198">
        <f t="shared" si="5"/>
        <v>181</v>
      </c>
      <c r="AD23" s="1198">
        <f t="shared" si="5"/>
        <v>0</v>
      </c>
      <c r="AE23" s="1198">
        <f t="shared" si="5"/>
        <v>0</v>
      </c>
      <c r="AF23" s="1198">
        <f t="shared" si="5"/>
        <v>1846</v>
      </c>
      <c r="AG23" s="1198">
        <f t="shared" si="5"/>
        <v>0</v>
      </c>
      <c r="AH23" s="1198">
        <f t="shared" si="5"/>
        <v>0</v>
      </c>
      <c r="AI23" s="1198">
        <f t="shared" si="5"/>
        <v>0</v>
      </c>
      <c r="AJ23" s="1198">
        <f t="shared" si="5"/>
        <v>0</v>
      </c>
      <c r="AK23" s="1198">
        <f t="shared" si="5"/>
        <v>0</v>
      </c>
      <c r="AL23" s="1198">
        <f t="shared" si="5"/>
        <v>0</v>
      </c>
      <c r="AM23" s="1198">
        <f t="shared" si="5"/>
        <v>296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775</v>
      </c>
      <c r="BD23" s="1198">
        <f t="shared" si="5"/>
        <v>6017</v>
      </c>
      <c r="BE23" s="1198">
        <f t="shared" si="5"/>
        <v>0</v>
      </c>
      <c r="BF23" s="1198">
        <f t="shared" si="5"/>
        <v>0</v>
      </c>
      <c r="BG23" s="1198">
        <f>IF(ISNUMBER(Datos!K23/Datos!J23),Datos!K23/Datos!J23," - ")</f>
        <v>0.96929641965029145</v>
      </c>
      <c r="BH23" s="1202">
        <f>IF(ISNUMBER(((Datos!L23/Datos!K23)*11)/factor_trimestre),((Datos!L23/Datos!K23)*11)/factor_trimestre," - ")</f>
        <v>2.1803929990336091</v>
      </c>
      <c r="BI23" s="1198">
        <f>SUBTOTAL(9,BI16:BI22)</f>
        <v>0.14043829273623251</v>
      </c>
      <c r="BJ23" s="1198">
        <f>SUBTOTAL(9,BJ16:BJ22)</f>
        <v>0</v>
      </c>
      <c r="BK23" s="1198">
        <f>SUBTOTAL(9,BK16:BK22)</f>
        <v>0</v>
      </c>
      <c r="BL23" s="1198">
        <f>IF(ISNUMBER((I23-AB23+L23)/(F23)),(I23-AB23+L23)/(F23)," - ")</f>
        <v>-6.2336010709504688</v>
      </c>
      <c r="BM23" s="1205">
        <f>IF(ISNUMBER((Datos!P23-Datos!Q23)/(Datos!R23-Datos!P23+Datos!Q23)),(Datos!P23-Datos!Q23)/(Datos!R23-Datos!P23+Datos!Q23)," - ")</f>
        <v>0.25423728813559321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14</v>
      </c>
      <c r="F31" s="1117">
        <f t="shared" si="18"/>
        <v>1535</v>
      </c>
      <c r="G31" s="1117">
        <f t="shared" si="18"/>
        <v>1455</v>
      </c>
      <c r="H31" s="1119">
        <f t="shared" si="18"/>
        <v>0</v>
      </c>
      <c r="I31" s="1117">
        <f t="shared" si="18"/>
        <v>0</v>
      </c>
      <c r="J31" s="1119">
        <f t="shared" si="18"/>
        <v>0</v>
      </c>
      <c r="K31" s="1119">
        <f t="shared" si="18"/>
        <v>0</v>
      </c>
      <c r="L31" s="1180">
        <f t="shared" si="18"/>
        <v>0</v>
      </c>
      <c r="M31" s="1180">
        <f t="shared" si="18"/>
        <v>0</v>
      </c>
      <c r="N31" s="1180">
        <f t="shared" si="18"/>
        <v>597</v>
      </c>
      <c r="O31" s="1180">
        <f t="shared" si="18"/>
        <v>0</v>
      </c>
      <c r="P31" s="1180">
        <f t="shared" si="18"/>
        <v>0</v>
      </c>
      <c r="Q31" s="1119">
        <f t="shared" si="18"/>
        <v>1540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9422</v>
      </c>
      <c r="AC31" s="1118">
        <f t="shared" si="19"/>
        <v>1102</v>
      </c>
      <c r="AD31" s="1118">
        <f t="shared" si="19"/>
        <v>0</v>
      </c>
      <c r="AE31" s="1118">
        <f t="shared" si="19"/>
        <v>0</v>
      </c>
      <c r="AF31" s="1125">
        <f t="shared" si="19"/>
        <v>1873</v>
      </c>
      <c r="AG31" s="1125">
        <f t="shared" si="19"/>
        <v>0</v>
      </c>
      <c r="AH31" s="1125">
        <f t="shared" si="19"/>
        <v>180</v>
      </c>
      <c r="AI31" s="1125">
        <f t="shared" si="19"/>
        <v>0</v>
      </c>
      <c r="AJ31" s="1118">
        <f t="shared" si="19"/>
        <v>0</v>
      </c>
      <c r="AK31" s="1125">
        <f t="shared" si="19"/>
        <v>0</v>
      </c>
      <c r="AL31" s="1125">
        <f t="shared" si="19"/>
        <v>0</v>
      </c>
      <c r="AM31" s="1125">
        <f t="shared" si="19"/>
        <v>6562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1918</v>
      </c>
      <c r="BD31" s="1117">
        <f t="shared" si="19"/>
        <v>9050</v>
      </c>
      <c r="BE31" s="1117">
        <f t="shared" si="19"/>
        <v>0</v>
      </c>
      <c r="BF31" s="1127">
        <f t="shared" si="19"/>
        <v>0</v>
      </c>
      <c r="BG31" s="1223">
        <f>IF(ISNUMBER(Datos!K31/Datos!J31),Datos!K31/Datos!J31," - ")</f>
        <v>0.89861722956436618</v>
      </c>
      <c r="BH31" s="1223">
        <f>IF(ISNUMBER(((Datos!L31/Datos!K31)*11)/factor_trimestre),((Datos!L31/Datos!K31)*11)/factor_trimestre," - ")</f>
        <v>4.7633962007217265</v>
      </c>
      <c r="BI31" s="1103">
        <f>IF(ISNUMBER(Datos!J31/Datos!I31),Datos!J31/Datos!I31," - ")</f>
        <v>3.5795006570302235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-6.1381107491856675</v>
      </c>
      <c r="BM31" s="1188">
        <f>IF(ISNUMBER((Datos!P31-Datos!Q31+R31)/(Datos!R31-Datos!P31+Datos!Q31-R31)),(Datos!P31-Datos!Q31+R31)/(Datos!R31-Datos!P31+Datos!Q31-R31)," - ")</f>
        <v>7.1521881123448733E-2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2.6950246556825488</v>
      </c>
      <c r="F33" s="673">
        <f>IF(ISNUMBER(STDEV(F8:F30)),STDEV(F8:F30),"-")</f>
        <v>761.13301509438315</v>
      </c>
      <c r="G33" s="674">
        <f>IF(ISNUMBER(STDEV(G8:G30)),STDEV(G8:G30),"-")</f>
        <v>663.3663428015509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4174.3061698921892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507.38235793418863</v>
      </c>
      <c r="BD33" s="673"/>
      <c r="BE33" s="673">
        <f>IF(ISNUMBER(STDEV(BE8:BE30)),STDEV(BE8:BE30),"-")</f>
        <v>0</v>
      </c>
      <c r="BF33" s="678">
        <f>IF(ISNUMBER(STDEV(BF8:BF30)),STDEV(BF8:BF30),"-")</f>
        <v>0</v>
      </c>
      <c r="BG33" s="1052">
        <f>IF(ISNUMBER(STDEV(BG8:BG30)),STDEV(BG8:BG30),"-")</f>
        <v>0.13209899858759297</v>
      </c>
      <c r="BH33" s="1058">
        <f>IF(ISNUMBER(STDEV(BH8:BH30)),STDEV(BH8:BH30),"-")</f>
        <v>3.7426715392144798</v>
      </c>
      <c r="BI33" s="273">
        <f>IF(ISNUMBER(STDEV(BI8:BI30)),STDEV(BI8:BI30),"-")</f>
        <v>6.1114523214796476E-2</v>
      </c>
      <c r="BJ33" s="244" t="str">
        <f>IF(ISNUMBER(BL33/BM33),BL33/BM33," - ")</f>
        <v xml:space="preserve"> - </v>
      </c>
      <c r="BK33" s="709"/>
      <c r="BL33" s="681">
        <f>IF(ISNUMBER(STDEV(BL8:BL30)),STDEV(BL8:BL30),"-")</f>
        <v>2.5279523409360771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19WaAcU5CfwMY7E69Ab+VvCJyJ476DbOPSMFH0XrxUb0PrAhHXX6fYgBUaXOiIzyl8lKIeUuVWkzkV4RDNm0ow==" saltValue="zaDXEBrp76EGaKerCLzR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COSLADA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41</v>
      </c>
      <c r="G10" s="552">
        <f>IF(ISNUMBER(Datos!I10),Datos!I10," - ")</f>
        <v>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109</v>
      </c>
      <c r="Z10" s="805">
        <f>IF(ISNUMBER(Datos!Q10),Datos!Q10," - ")</f>
        <v>36</v>
      </c>
      <c r="AA10" s="551">
        <f>IF(ISNUMBER(Datos!L10),Datos!L10,"-")</f>
        <v>27</v>
      </c>
      <c r="AB10" s="549"/>
      <c r="AC10" s="549"/>
      <c r="AD10" s="563"/>
      <c r="AE10" s="563">
        <f>IF(ISNUMBER(Datos!R10),Datos!R10," - ")</f>
        <v>54</v>
      </c>
      <c r="AF10" s="693" t="str">
        <f>IF(ISNUMBER(Datos!BV10),Datos!BV10," - ")</f>
        <v xml:space="preserve"> - </v>
      </c>
      <c r="AG10" s="552" t="str">
        <f>IF(ISNUMBER(Datos!DV10),Datos!DV10," - ")</f>
        <v xml:space="preserve"> - </v>
      </c>
      <c r="AH10" s="553"/>
      <c r="AI10" s="554"/>
      <c r="AJ10" s="552">
        <f>IF(ISNUMBER(Datos!M10),Datos!M10," - ")</f>
        <v>40</v>
      </c>
      <c r="AK10" s="693">
        <f>IF(ISNUMBER(Datos!N10),Datos!N10," - ")</f>
        <v>77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2.7247706422018352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-0.14285714285714285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1272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885</v>
      </c>
      <c r="AA12" s="551" t="str">
        <f>IF(ISNUMBER(IF(J_V="SI",Datos!L12,Datos!L12+Datos!AB12)-IF(Monitorios="SI",Datos!CD12,0)),
                          IF(J_V="SI",Datos!L12,Datos!L12+Datos!AB12)-IF(Monitorios="SI",Datos!CD12,0),
                          " - ")</f>
        <v xml:space="preserve"> - </v>
      </c>
      <c r="AB12" s="549"/>
      <c r="AC12" s="549"/>
      <c r="AD12" s="563"/>
      <c r="AE12" s="563">
        <f>IF(ISNUMBER(Datos!R12),Datos!R12," - ")</f>
        <v>6212</v>
      </c>
      <c r="AF12" s="693" t="str">
        <f>IF(ISNUMBER(Datos!BV12),Datos!BV12," - ")</f>
        <v xml:space="preserve"> - </v>
      </c>
      <c r="AG12" s="552" t="str">
        <f>IF(ISNUMBER(Datos!DV12),Datos!DV12," - ")</f>
        <v xml:space="preserve"> - </v>
      </c>
      <c r="AH12" s="553"/>
      <c r="AI12" s="554"/>
      <c r="AJ12" s="552">
        <f>IF(ISNUMBER(Datos!M12),Datos!M12," - ")</f>
        <v>1103</v>
      </c>
      <c r="AK12" s="693">
        <f>IF(ISNUMBER(Datos!N12),Datos!N12," - ")</f>
        <v>2956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8.8086822237474269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6.6437768240343351E-2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7</v>
      </c>
      <c r="F14" s="1197">
        <f>SUBTOTAL(9,F8:F13)</f>
        <v>41</v>
      </c>
      <c r="G14" s="1197">
        <f>SUBTOTAL(9,G8:G13)</f>
        <v>41</v>
      </c>
      <c r="H14" s="1211"/>
      <c r="I14" s="1197">
        <f t="shared" ref="I14:N14" si="1">SUBTOTAL(9,I8:I13)</f>
        <v>0</v>
      </c>
      <c r="J14" s="1164">
        <f t="shared" si="1"/>
        <v>0</v>
      </c>
      <c r="K14" s="1211">
        <f t="shared" si="1"/>
        <v>0</v>
      </c>
      <c r="L14" s="1211">
        <f t="shared" si="1"/>
        <v>0</v>
      </c>
      <c r="M14" s="1211">
        <f t="shared" si="1"/>
        <v>0</v>
      </c>
      <c r="N14" s="1211">
        <f t="shared" si="1"/>
        <v>1299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109</v>
      </c>
      <c r="Z14" s="1210">
        <f t="shared" si="3"/>
        <v>921</v>
      </c>
      <c r="AA14" s="1199">
        <f t="shared" si="3"/>
        <v>27</v>
      </c>
      <c r="AB14" s="1199">
        <f t="shared" si="3"/>
        <v>0</v>
      </c>
      <c r="AC14" s="1199">
        <f t="shared" si="3"/>
        <v>0</v>
      </c>
      <c r="AD14" s="1199">
        <f t="shared" si="3"/>
        <v>0</v>
      </c>
      <c r="AE14" s="1199">
        <f t="shared" si="3"/>
        <v>6266</v>
      </c>
      <c r="AF14" s="1211">
        <f t="shared" si="3"/>
        <v>0</v>
      </c>
      <c r="AG14" s="1211">
        <f t="shared" si="3"/>
        <v>0</v>
      </c>
      <c r="AH14" s="1211">
        <f t="shared" si="3"/>
        <v>0</v>
      </c>
      <c r="AI14" s="1211">
        <f t="shared" si="3"/>
        <v>0</v>
      </c>
      <c r="AJ14" s="1211">
        <f t="shared" si="3"/>
        <v>1143</v>
      </c>
      <c r="AK14" s="1211">
        <f t="shared" si="3"/>
        <v>3033</v>
      </c>
      <c r="AL14" s="1211">
        <f t="shared" si="3"/>
        <v>0</v>
      </c>
      <c r="AM14" s="1211">
        <f t="shared" si="3"/>
        <v>0</v>
      </c>
      <c r="AN14" s="1211">
        <f t="shared" si="3"/>
        <v>0</v>
      </c>
      <c r="AO14" s="1203">
        <f>IF(ISNUMBER(((NºAsuntos!I14/NºAsuntos!G14)*11)/factor_trimestre),((NºAsuntos!I14/NºAsuntos!G14)*11)/factor_trimestre," - ")</f>
        <v>8.6969850092639387</v>
      </c>
      <c r="AP14" s="1213" t="str">
        <f>IF(ISNUMBER(Datos!CI14/Datos!CJ14),Datos!CI14/Datos!CJ14," - ")</f>
        <v xml:space="preserve"> - </v>
      </c>
      <c r="AQ14" s="1236">
        <f t="shared" ref="AQ14:AV14" si="4">SUBTOTAL(9,AQ9:AQ13)</f>
        <v>0</v>
      </c>
      <c r="AR14" s="1236">
        <f t="shared" si="4"/>
        <v>-7.6419374616799499E-2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1494</v>
      </c>
      <c r="G17" s="552">
        <f>IF(ISNUMBER(IF(D_I="SI",Datos!I17,Datos!I17+Datos!AC17)),IF(D_I="SI",Datos!I17,Datos!I17+Datos!AC17)," - ")</f>
        <v>1358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8203</v>
      </c>
      <c r="Z17" s="805">
        <f>IF(ISNUMBER(Datos!Q17),Datos!Q17," - ")</f>
        <v>179</v>
      </c>
      <c r="AA17" s="551">
        <f>IF(ISNUMBER(IF(D_I="SI",Datos!L17,Datos!L17+Datos!AF17)),IF(D_I="SI",Datos!L17,Datos!L17+Datos!AF17)," - ")</f>
        <v>1800</v>
      </c>
      <c r="AB17" s="549"/>
      <c r="AC17" s="549"/>
      <c r="AD17" s="563"/>
      <c r="AE17" s="563">
        <f>IF(ISNUMBER(Datos!R17),Datos!R17," - ")</f>
        <v>290</v>
      </c>
      <c r="AF17" s="693" t="str">
        <f>IF(ISNUMBER(Datos!BV17),Datos!BV17," - ")</f>
        <v xml:space="preserve"> - </v>
      </c>
      <c r="AG17" s="552"/>
      <c r="AH17" s="553"/>
      <c r="AI17" s="554"/>
      <c r="AJ17" s="552">
        <f>IF(ISNUMBER(Datos!M17),Datos!M17," - ")</f>
        <v>716</v>
      </c>
      <c r="AK17" s="693">
        <f>IF(ISNUMBER(Datos!N17),Datos!N17," - ")</f>
        <v>5307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2.4137510666829209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1110</v>
      </c>
      <c r="Z18" s="805">
        <f>IF(ISNUMBER(Datos!Q18),Datos!Q18," - ")</f>
        <v>2</v>
      </c>
      <c r="AA18" s="551">
        <f>IF(ISNUMBER(Datos!L18),Datos!L18,"-")</f>
        <v>46</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59</v>
      </c>
      <c r="AK18" s="693">
        <f>IF(ISNUMBER(Datos!N18),Datos!N18," - ")</f>
        <v>710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0.45585585585585586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1494</v>
      </c>
      <c r="G23" s="1197">
        <f>SUBTOTAL(9,G16:G22)</f>
        <v>1414</v>
      </c>
      <c r="H23" s="1240">
        <f>SUBTOTAL(9,H16:H22)</f>
        <v>0</v>
      </c>
      <c r="I23" s="1217">
        <f>SUBTOTAL(9,I16:I22)</f>
        <v>0</v>
      </c>
      <c r="J23" s="1164">
        <f>SUBTOTAL(9,J15:J22)</f>
        <v>0</v>
      </c>
      <c r="K23" s="1240">
        <f t="shared" ref="K23:S23" si="5">SUBTOTAL(9,K16:K22)</f>
        <v>0</v>
      </c>
      <c r="L23" s="1240">
        <f t="shared" si="5"/>
        <v>0</v>
      </c>
      <c r="M23" s="1240">
        <f t="shared" si="5"/>
        <v>0</v>
      </c>
      <c r="N23" s="1240">
        <f t="shared" si="5"/>
        <v>241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9313</v>
      </c>
      <c r="Z23" s="1240">
        <f t="shared" si="6"/>
        <v>181</v>
      </c>
      <c r="AA23" s="1240">
        <f t="shared" si="6"/>
        <v>1846</v>
      </c>
      <c r="AB23" s="1240">
        <f t="shared" si="6"/>
        <v>0</v>
      </c>
      <c r="AC23" s="1240">
        <f t="shared" si="6"/>
        <v>0</v>
      </c>
      <c r="AD23" s="1240">
        <f t="shared" si="6"/>
        <v>0</v>
      </c>
      <c r="AE23" s="1240">
        <f t="shared" si="6"/>
        <v>296</v>
      </c>
      <c r="AF23" s="1240">
        <f t="shared" si="6"/>
        <v>0</v>
      </c>
      <c r="AG23" s="1240">
        <f t="shared" si="6"/>
        <v>0</v>
      </c>
      <c r="AH23" s="1240">
        <f t="shared" si="6"/>
        <v>0</v>
      </c>
      <c r="AI23" s="1240">
        <f t="shared" si="6"/>
        <v>0</v>
      </c>
      <c r="AJ23" s="1240">
        <f t="shared" si="6"/>
        <v>775</v>
      </c>
      <c r="AK23" s="1240">
        <f t="shared" si="6"/>
        <v>6017</v>
      </c>
      <c r="AL23" s="1240">
        <f t="shared" si="6"/>
        <v>0</v>
      </c>
      <c r="AM23" s="1240">
        <f t="shared" si="6"/>
        <v>0</v>
      </c>
      <c r="AN23" s="1240">
        <f t="shared" si="6"/>
        <v>0</v>
      </c>
      <c r="AO23" s="1242">
        <f>IF(ISNUMBER(((NºAsuntos!I23/NºAsuntos!G23)*11)/factor_trimestre),((NºAsuntos!I23/NºAsuntos!G23)*11)/factor_trimestre," - ")</f>
        <v>2.1803929990336091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1535</v>
      </c>
      <c r="G31" s="1117">
        <f t="shared" si="12"/>
        <v>1455</v>
      </c>
      <c r="H31" s="1118">
        <f t="shared" si="12"/>
        <v>0</v>
      </c>
      <c r="I31" s="1117">
        <f t="shared" si="12"/>
        <v>0</v>
      </c>
      <c r="J31" s="1119">
        <f t="shared" si="12"/>
        <v>0</v>
      </c>
      <c r="K31" s="1117">
        <f t="shared" si="12"/>
        <v>0</v>
      </c>
      <c r="L31" s="1120">
        <f t="shared" si="12"/>
        <v>0</v>
      </c>
      <c r="M31" s="1117">
        <f t="shared" si="12"/>
        <v>0</v>
      </c>
      <c r="N31" s="1118">
        <f t="shared" si="12"/>
        <v>1540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9422</v>
      </c>
      <c r="Z31" s="1124">
        <f t="shared" si="13"/>
        <v>1102</v>
      </c>
      <c r="AA31" s="1125">
        <f t="shared" si="13"/>
        <v>1873</v>
      </c>
      <c r="AB31" s="1125">
        <f t="shared" si="13"/>
        <v>0</v>
      </c>
      <c r="AC31" s="1125">
        <f t="shared" si="13"/>
        <v>0</v>
      </c>
      <c r="AD31" s="1126">
        <f t="shared" si="13"/>
        <v>0</v>
      </c>
      <c r="AE31" s="1126">
        <f t="shared" si="13"/>
        <v>6562</v>
      </c>
      <c r="AF31" s="1127">
        <f t="shared" si="13"/>
        <v>0</v>
      </c>
      <c r="AG31" s="1128">
        <f t="shared" si="13"/>
        <v>0</v>
      </c>
      <c r="AH31" s="1129">
        <f t="shared" si="13"/>
        <v>0</v>
      </c>
      <c r="AI31" s="1127">
        <f t="shared" si="13"/>
        <v>0</v>
      </c>
      <c r="AJ31" s="1117">
        <f t="shared" si="13"/>
        <v>1918</v>
      </c>
      <c r="AK31" s="1117">
        <f t="shared" si="13"/>
        <v>9050</v>
      </c>
      <c r="AL31" s="1117">
        <f t="shared" si="13"/>
        <v>0</v>
      </c>
      <c r="AM31" s="1130">
        <f t="shared" si="13"/>
        <v>0</v>
      </c>
      <c r="AN31" s="1120">
        <f>IF(ISNUMBER(Datos!K31/Datos!J31),Datos!K31/Datos!J31," - ")</f>
        <v>0.89861722956436618</v>
      </c>
      <c r="AO31" s="1120">
        <f>IF(ISNUMBER(FIND("06",Criterios!A8,1)),(IF(ISNUMBER(((Datos!R31/Datos!Q31)*11)/factor_trimestre),((Datos!R31/Datos!Q31)*11)/factor_trimestre," - ")),(IF(ISNUMBER(((Datos!L31/Datos!K31)*11)/factor_trimestre),((Datos!L31/Datos!K31)*11)/factor_trimestre," - ")))</f>
        <v>4.7633962007217265</v>
      </c>
      <c r="AP31" s="1131" t="str">
        <f>IF(ISNUMBER(Datos!CI31/Datos!CJ31),Datos!CI31/Datos!CJ31," - ")</f>
        <v xml:space="preserve"> - </v>
      </c>
      <c r="AQ31" s="1131">
        <f>IF(OR(ISNUMBER(FIND("01",Criterios!A8,1)),ISNUMBER(FIND("02",Criterios!A8,1)),ISNUMBER(FIND("03",Criterios!A8,1)),ISNUMBER(FIND("04",Criterios!A8,1))),(J31-Y31+K31)/(F31-K31),(I31-Y31+K31)/(F31-K31))</f>
        <v>-6.1381107491856675</v>
      </c>
      <c r="AR31" s="1131">
        <f>IF(ISNUMBER((Datos!P31-Datos!Q31+O31)/(Datos!R31-Datos!P31+Datos!Q31-O31)),(Datos!P31-Datos!Q31+O31)/(Datos!R31-Datos!P31+Datos!Q31-O31)," - ")</f>
        <v>7.1521881123448733E-2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761.13301509438315</v>
      </c>
      <c r="G33" s="674">
        <f>IF(ISNUMBER(STDEV(G8:G30)),STDEV(G8:G30),"-")</f>
        <v>663.3663428015509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507.38235793418863</v>
      </c>
      <c r="AK33" s="276"/>
      <c r="AL33" s="276">
        <f>IF(ISNUMBER(STDEV(AL8:AL30)),STDEV(AL8:AL30),"-")</f>
        <v>0</v>
      </c>
      <c r="AM33" s="278">
        <f>IF(ISNUMBER(STDEV(AM8:AM30)),STDEV(AM8:AM30),"-")</f>
        <v>0</v>
      </c>
      <c r="AN33" s="660">
        <f>IF(ISNUMBER(STDEV(AN8:AN30)),STDEV(AN8:AN30),"-")</f>
        <v>0</v>
      </c>
      <c r="AO33" s="661">
        <f>IF(ISNUMBER(STDEV(AO8:AO30)),STDEV(AO8:AO30),"-")</f>
        <v>3.6035028058877803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PRIM3jDPx6wMtSLmN1yWN3y0q63VUxCJ4Dbpkuii18iYUM6tt7Dp6CfLO9Nyxw+jJUjgkP6h7h0gedLUNaeigA==" saltValue="YSXuOhHMGWtVwQcqTMKJg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5xZmxHFeN9Fp/x+oYTsauxMDIHRf1sk1r0WtTjVWVHOH2ss1kOKHcyVNCAXxaWUC6JDyfiW2KzPzVBkGuJN1w==" saltValue="5lhuQeHPS5At95q8SOCQ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J9PV8mUX7PAQwhy8R6GATyjJ5vHsFJ0ImB8eWjULsfZ25t5waqNI/J3XcT07tXMse+RCGzRLyYszmLTC6jp5A==" saltValue="JQFwCWyufX6Iji+wfDUci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COSLADA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0.19252147549267307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0.13613324084490885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sG1rOK0VYV8yUk74deZHz32OHv+8ElVKyL+4ZOdCCIeMFrBe1W0t9k+sudArGfmdgqr28MUDuxVP6leoAulaQ==" saltValue="JQ2aye00le7SsWbfvhr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7qzFKtTWy+toL+hXSBXXrfCIYofz+/rcPq80evwzgiwsC/9TBte5xhVFMRntQkLU1mgPmj7knymQjeusrAXEDA==" saltValue="vqOQJgcEBcE8NPmNn8VG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COSLADA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41</v>
      </c>
      <c r="D10" s="452">
        <f>IF(ISNUMBER(C10/Datos!BH10),C10/Datos!BH10," - ")</f>
        <v>41</v>
      </c>
      <c r="E10" s="451">
        <f>IF(ISNUMBER(Datos!J10),Datos!J10," - ")</f>
        <v>95</v>
      </c>
      <c r="F10" s="452">
        <f>IF(ISNUMBER(E10/B10),E10/B10," - ")</f>
        <v>95</v>
      </c>
      <c r="G10" s="451">
        <f>IF(ISNUMBER(Datos!K10),Datos!K10," - ")</f>
        <v>109</v>
      </c>
      <c r="H10" s="452">
        <f>IF(ISNUMBER(G10/B10),G10/B10," - ")</f>
        <v>109</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3236</v>
      </c>
      <c r="D12" s="452">
        <f>IF(ISNUMBER(C12/Datos!BH12),C12/Datos!BH12," - ")</f>
        <v>539.33333333333337</v>
      </c>
      <c r="E12" s="451">
        <f>IF(ISNUMBER(IF(J_V="SI",Datos!J12,Datos!J12+Datos!Z12)),IF(J_V="SI",Datos!J12,Datos!J12+Datos!Z12)," - ")</f>
        <v>7238</v>
      </c>
      <c r="F12" s="452">
        <f>IF(ISNUMBER(E12/B12),E12/B12," - ")</f>
        <v>1206.3333333333333</v>
      </c>
      <c r="G12" s="451">
        <f>IF(ISNUMBER(IF(J_V="SI",Datos!K12,Datos!K12+Datos!AA12)),IF(J_V="SI",Datos!K12,Datos!K12+Datos!AA12)," - ")</f>
        <v>5828</v>
      </c>
      <c r="H12" s="452">
        <f>IF(ISNUMBER(G12/B12),G12/B12," - ")</f>
        <v>971.33333333333337</v>
      </c>
      <c r="I12" s="451">
        <f>IF(ISNUMBER(IF(J_V="SI",Datos!L12,Datos!L12+Datos!AB12)),IF(J_V="SI",Datos!L12,Datos!L12+Datos!AB12)," - ")</f>
        <v>4667</v>
      </c>
      <c r="J12" s="452">
        <f>IF(ISNUMBER(I12/B12),I12/B12," - ")</f>
        <v>777.83333333333337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3277</v>
      </c>
      <c r="D14" s="1147" t="str">
        <f>IF(ISNUMBER(C14/Datos!BI14),C14/Datos!BI14," - ")</f>
        <v xml:space="preserve"> - </v>
      </c>
      <c r="E14" s="1146">
        <f>SUBTOTAL(9,E8:E13)</f>
        <v>7333</v>
      </c>
      <c r="F14" s="1147">
        <f>IF(ISNUMBER(E14/B14),E14/B14," - ")</f>
        <v>1047.5714285714287</v>
      </c>
      <c r="G14" s="1146">
        <f>SUBTOTAL(9,G8:G13)</f>
        <v>5937</v>
      </c>
      <c r="H14" s="1147">
        <f>IF(ISNUMBER(G14/B14),G14/B14," - ")</f>
        <v>848.14285714285711</v>
      </c>
      <c r="I14" s="1146">
        <f>SUBTOTAL(9,I8:I13)</f>
        <v>4694</v>
      </c>
      <c r="J14" s="1147">
        <f>IF(ISNUMBER(I14/B14),I14/B14," - ")</f>
        <v>670.57142857142856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1358</v>
      </c>
      <c r="D17" s="452">
        <f>IF(ISNUMBER(C17/Datos!BH17),C17/Datos!BH17," - ")</f>
        <v>226.33333333333334</v>
      </c>
      <c r="E17" s="451">
        <f>IF(ISNUMBER(IF(D_I="SI",Datos!J17,Datos!J17+Datos!AD17)),IF(D_I="SI",Datos!J17,Datos!J17+Datos!AD17)," - ")</f>
        <v>8509</v>
      </c>
      <c r="F17" s="452">
        <f>IF(ISNUMBER(E17/B17),E17/B17," - ")</f>
        <v>1418.1666666666667</v>
      </c>
      <c r="G17" s="451">
        <f>IF(ISNUMBER(IF(D_I="SI",Datos!K17,Datos!K17+Datos!AE17)),IF(D_I="SI",Datos!K17,Datos!K17+Datos!AE17)," - ")</f>
        <v>8203</v>
      </c>
      <c r="H17" s="452">
        <f>IF(ISNUMBER(G17/B17),G17/B17," - ")</f>
        <v>1367.1666666666667</v>
      </c>
      <c r="I17" s="451">
        <f>IF(ISNUMBER(IF(D_I="SI",Datos!L17,Datos!L17+Datos!AF17)),IF(D_I="SI",Datos!L17,Datos!L17+Datos!AF17)," - ")</f>
        <v>1800</v>
      </c>
      <c r="J17" s="452">
        <f>IF(ISNUMBER(I17/B17),I17/B17," - ")</f>
        <v>300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56</v>
      </c>
      <c r="D18" s="452">
        <f>IF(ISNUMBER(C18/Datos!BH18),C18/Datos!BH18," - ")</f>
        <v>56</v>
      </c>
      <c r="E18" s="451">
        <f>IF(ISNUMBER(IF(D_I="SI",Datos!J18,Datos!J18+Datos!AD18)),IF(D_I="SI",Datos!J18,Datos!J18+Datos!AD18)," - ")</f>
        <v>1099</v>
      </c>
      <c r="F18" s="452">
        <f>IF(ISNUMBER(E18/B18),E18/B18," - ")</f>
        <v>1099</v>
      </c>
      <c r="G18" s="451">
        <f>IF(ISNUMBER(IF(D_I="SI",Datos!K18,Datos!K18+Datos!AE18)),IF(D_I="SI",Datos!K18,Datos!K18+Datos!AE18)," - ")</f>
        <v>1110</v>
      </c>
      <c r="H18" s="452">
        <f>IF(ISNUMBER(G18/B18),G18/B18," - ")</f>
        <v>1110</v>
      </c>
      <c r="I18" s="451">
        <f>IF(ISNUMBER(IF(D_I="SI",Datos!L18,Datos!L18+Datos!AF18)),IF(D_I="SI",Datos!L18,Datos!L18+Datos!AF18)," - ")</f>
        <v>46</v>
      </c>
      <c r="J18" s="452">
        <f>IF(ISNUMBER(I18/B18),I18/B18," - ")</f>
        <v>46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1414</v>
      </c>
      <c r="D23" s="1147" t="str">
        <f>IF(ISNUMBER(C23/Datos!BI23),C23/Datos!BI23," - ")</f>
        <v xml:space="preserve"> - </v>
      </c>
      <c r="E23" s="1146">
        <f>SUBTOTAL(9,E15:E22)</f>
        <v>9608</v>
      </c>
      <c r="F23" s="1147">
        <f>IF(ISNUMBER(E23/B23),E23/B23," - ")</f>
        <v>1372.5714285714287</v>
      </c>
      <c r="G23" s="1146">
        <f>SUBTOTAL(9,G15:G22)</f>
        <v>9313</v>
      </c>
      <c r="H23" s="1147">
        <f>IF(ISNUMBER(G23/B23),G23/B23," - ")</f>
        <v>1330.4285714285713</v>
      </c>
      <c r="I23" s="1146">
        <f>SUBTOTAL(9,I15:I22)</f>
        <v>1846</v>
      </c>
      <c r="J23" s="1147">
        <f>IF(ISNUMBER(I23/B23),I23/B23," - ")</f>
        <v>263.71428571428572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4691</v>
      </c>
      <c r="D31" s="1085" t="str">
        <f>IF(ISNUMBER(C31/Datos!BI31),C31/Datos!BI31," - ")</f>
        <v xml:space="preserve"> - </v>
      </c>
      <c r="E31" s="1084">
        <f>SUBTOTAL(9,E9:E30)</f>
        <v>16941</v>
      </c>
      <c r="F31" s="1085">
        <f>IF(ISNUMBER(E31/B31),E31/B31," - ")</f>
        <v>2420.1428571428573</v>
      </c>
      <c r="G31" s="1084">
        <f>SUBTOTAL(9,G9:G30)</f>
        <v>15250</v>
      </c>
      <c r="H31" s="1085">
        <f>IF(ISNUMBER(G31/B31),G31/B31," - ")</f>
        <v>2178.5714285714284</v>
      </c>
      <c r="I31" s="1084">
        <f>SUBTOTAL(9,I9:I30)</f>
        <v>6540</v>
      </c>
      <c r="J31" s="1085">
        <f>IF(ISNUMBER(I31/B31),I31/B31," - ")</f>
        <v>934.28571428571433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PzY2HpJwTSrG6qYFZ+IjeH8ingOwpNmWq/yRL+OGJR3Z5a+wLcKv/abJgs90ChzgH9x/tan90pflIWkNu3M1wA==" saltValue="As2yc4xY6YzTFMR6il+p4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COSLADA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41</v>
      </c>
      <c r="G10" s="906">
        <f>IF(ISNUMBER(Datos!I10),Datos!I10," - ")</f>
        <v>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109</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40</v>
      </c>
      <c r="AM10" s="914">
        <f>IF(ISNUMBER(Datos!N10+DatosP!N18),Datos!N10+DatosP!N18," - ")</f>
        <v>77</v>
      </c>
      <c r="AN10" s="914">
        <f>IF(ISNUMBER(Datos!BW10+DatosP!BW18),Datos!BW10+DatosP!BW18," - ")</f>
        <v>0</v>
      </c>
      <c r="AO10" s="915">
        <f>IF(ISNUMBER(Datos!BX10+DatosP!BX18),Datos!BX10+DatosP!BX18," - ")</f>
        <v>0</v>
      </c>
      <c r="AP10" s="917">
        <f>IF(ISNUMBER(((Datos!L10/Datos!K10)*11)/factor_trimestre),((Datos!L10/Datos!K10)*11)/factor_trimestre," - ")</f>
        <v>2.7247706422018352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1272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885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1103</v>
      </c>
      <c r="AM12" s="914">
        <f>IF(ISNUMBER(Datos!N12+DatosP!N17),Datos!N12+DatosP!N17," - ")</f>
        <v>2956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8.8086822237474269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6.6437768240343351E-2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41</v>
      </c>
      <c r="G14" s="1256">
        <f t="shared" si="0"/>
        <v>41</v>
      </c>
      <c r="H14" s="1256">
        <f t="shared" si="0"/>
        <v>0</v>
      </c>
      <c r="I14" s="1258">
        <f t="shared" si="0"/>
        <v>0</v>
      </c>
      <c r="J14" s="1257">
        <f t="shared" si="0"/>
        <v>0</v>
      </c>
      <c r="K14" s="1257">
        <f t="shared" si="0"/>
        <v>0</v>
      </c>
      <c r="L14" s="1259">
        <f t="shared" si="0"/>
        <v>0</v>
      </c>
      <c r="M14" s="1259">
        <f t="shared" si="0"/>
        <v>0</v>
      </c>
      <c r="N14" s="1257">
        <f t="shared" si="0"/>
        <v>1299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109</v>
      </c>
      <c r="AC14" s="1257">
        <f t="shared" si="1"/>
        <v>0</v>
      </c>
      <c r="AD14" s="1257">
        <f t="shared" si="1"/>
        <v>885</v>
      </c>
      <c r="AE14" s="1257">
        <f t="shared" si="1"/>
        <v>0</v>
      </c>
      <c r="AF14" s="1257">
        <f t="shared" si="1"/>
        <v>27</v>
      </c>
      <c r="AG14" s="1257">
        <f t="shared" si="1"/>
        <v>0</v>
      </c>
      <c r="AH14" s="1257">
        <f t="shared" si="1"/>
        <v>6212</v>
      </c>
      <c r="AI14" s="1257">
        <f t="shared" si="1"/>
        <v>0</v>
      </c>
      <c r="AJ14" s="1257">
        <f t="shared" si="1"/>
        <v>0</v>
      </c>
      <c r="AK14" s="1257">
        <f t="shared" si="1"/>
        <v>0</v>
      </c>
      <c r="AL14" s="1257">
        <f t="shared" si="1"/>
        <v>1143</v>
      </c>
      <c r="AM14" s="1257">
        <f t="shared" si="1"/>
        <v>3033</v>
      </c>
      <c r="AN14" s="1257">
        <f t="shared" si="1"/>
        <v>0</v>
      </c>
      <c r="AO14" s="1257">
        <f t="shared" si="1"/>
        <v>0</v>
      </c>
      <c r="AP14" s="1262">
        <f>IF(ISNUMBER(((Datos!L14/Datos!K14)*11)/factor_trimestre),((Datos!L14/Datos!K14)*11)/factor_trimestre," - ")</f>
        <v>9.2396724972087831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-2.6585365853658538</v>
      </c>
      <c r="AU14" s="1257" t="str">
        <f>IF(ISNUMBER((DatosP!#REF!-DatosP!#REF!+DatosP!#REF!)/(DatosP!#REF!+DatosP!#REF!-DatosP!#REF!-DatosP!#REF!)),(DatosP!#REF!-DatosP!#REF!+DatosP!#REF!)/(DatosP!#REF!+DatosP!#REF!-DatosP!#REF!-DatosP!#REF!)," - ")</f>
        <v xml:space="preserve"> - </v>
      </c>
      <c r="AV14" s="1263">
        <f>SUBTOTAL(9,AV9:AV13)</f>
        <v>6.6437768240343351E-2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2.1803929990336091</v>
      </c>
      <c r="AQ23" s="1262">
        <f>IF(ISNUMBER(((Datos!M23/Datos!L23)*11)/factor_trimestre),((Datos!M23/Datos!L23)*11)/factor_trimestre," - ")</f>
        <v>4.6180931744312019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0.25423728813559321</v>
      </c>
      <c r="AW23" s="1265">
        <f>IF(ISNUMBER((Datos!Q23-Datos!R23)/(Datos!S23-Datos!Q23+Datos!R23)),(Datos!Q23-Datos!R23)/(Datos!S23-Datos!Q23+Datos!R23)," - ")</f>
        <v>-5.9958289885297188E-2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41</v>
      </c>
      <c r="G31" s="1278">
        <f t="shared" si="8"/>
        <v>41</v>
      </c>
      <c r="H31" s="1278">
        <f t="shared" si="8"/>
        <v>0</v>
      </c>
      <c r="I31" s="1279">
        <f t="shared" si="8"/>
        <v>0</v>
      </c>
      <c r="J31" s="1280">
        <f t="shared" si="8"/>
        <v>0</v>
      </c>
      <c r="K31" s="1280">
        <f t="shared" si="8"/>
        <v>0</v>
      </c>
      <c r="L31" s="1280">
        <f t="shared" si="8"/>
        <v>0</v>
      </c>
      <c r="M31" s="1280">
        <f t="shared" si="8"/>
        <v>0</v>
      </c>
      <c r="N31" s="1279">
        <f t="shared" si="8"/>
        <v>1299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109</v>
      </c>
      <c r="AC31" s="1284">
        <f t="shared" si="9"/>
        <v>0</v>
      </c>
      <c r="AD31" s="1284">
        <f t="shared" si="9"/>
        <v>885</v>
      </c>
      <c r="AE31" s="1284">
        <f t="shared" si="9"/>
        <v>0</v>
      </c>
      <c r="AF31" s="1285">
        <f t="shared" si="9"/>
        <v>27</v>
      </c>
      <c r="AG31" s="1285">
        <f t="shared" si="9"/>
        <v>0</v>
      </c>
      <c r="AH31" s="1285">
        <f t="shared" si="9"/>
        <v>6212</v>
      </c>
      <c r="AI31" s="1285">
        <f t="shared" si="9"/>
        <v>0</v>
      </c>
      <c r="AJ31" s="1286">
        <f t="shared" si="9"/>
        <v>0</v>
      </c>
      <c r="AK31" s="1286">
        <f t="shared" si="9"/>
        <v>0</v>
      </c>
      <c r="AL31" s="1278">
        <f t="shared" si="9"/>
        <v>1143</v>
      </c>
      <c r="AM31" s="1278">
        <f t="shared" si="9"/>
        <v>3033</v>
      </c>
      <c r="AN31" s="1278">
        <f t="shared" si="9"/>
        <v>0</v>
      </c>
      <c r="AO31" s="1278">
        <f t="shared" si="9"/>
        <v>0</v>
      </c>
      <c r="AP31" s="1278">
        <f>IF(ISNUMBER(((Datos!L31/Datos!K31)*11)/factor_trimestre),((Datos!L31/Datos!K31)*11)/factor_trimestre," - ")</f>
        <v>4.7633962007217265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-2.6585365853658538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7.1521881123448733E-2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22.456624857711812</v>
      </c>
      <c r="G33" s="1007">
        <f>IF(ISNUMBER(STDEV(G8:G30)),STDEV(G8:G30),"-")</f>
        <v>22.456624857711812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59.701758768063108</v>
      </c>
      <c r="AC33" s="1008">
        <f>IF(ISNUMBER(STDEV(AC8:AC30)),STDEV(AC8:AC30),"-")</f>
        <v>0</v>
      </c>
      <c r="AD33" s="1011"/>
      <c r="AE33" s="1011"/>
      <c r="AF33" s="1011"/>
      <c r="AG33" s="1011"/>
      <c r="AH33" s="1011"/>
      <c r="AI33" s="1011"/>
      <c r="AJ33" s="1012">
        <f>IF(ISNUMBER(STDEV(AJ8:AJ30)),STDEV(AJ8:AJ30),"-")</f>
        <v>0</v>
      </c>
      <c r="AK33" s="1014"/>
      <c r="AL33" s="1006">
        <f>IF(ISNUMBER(STDEV(AL8:AL30)),STDEV(AL8:AL30),"-")</f>
        <v>575.09860024173247</v>
      </c>
      <c r="AM33" s="1006"/>
      <c r="AN33" s="1006">
        <f>IF(ISNUMBER(STDEV(AN8:AN30)),STDEV(AN8:AN30),"-")</f>
        <v>0</v>
      </c>
      <c r="AO33" s="1012">
        <f>IF(ISNUMBER(STDEV(AO8:AO30)),STDEV(AO8:AO30),"-")</f>
        <v>0</v>
      </c>
      <c r="AP33" s="1065">
        <f>IF(ISNUMBER(STDEV(AP8:AP30)),STDEV(AP8:AP30),"-")</f>
        <v>3.8046864854024762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DOc2gW8U+SXbDBjfYjGSW4g3EvF/imRzAlKA6TXB5+H5SDQGJOeKjS/DLNh8S6f7SEOkUVqPyCZFRaPINz2JZw==" saltValue="kji+UWwPcuyY7rzuKI9i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COSLADA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DUy4CUVqFZ/EM+iiTxK/rGn9SYuu17FSThcQgYorjq5xGUdZMTHvaKdapwCzie4FK9dPPZvan24ztMJ7Rsn3Gw==" saltValue="hLL8Pl48nBtsU21gqAb6X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COSLADA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40</v>
      </c>
      <c r="E10" s="452">
        <f>IF(ISNUMBER(D10/B10),D10/B10," - ")</f>
        <v>40</v>
      </c>
      <c r="F10" s="451">
        <f>IF(ISNUMBER(Datos!N10),Datos!N10," - ")</f>
        <v>77</v>
      </c>
      <c r="G10" s="452">
        <f>IF(ISNUMBER(F10/B10),F10/B10," - ")</f>
        <v>77</v>
      </c>
      <c r="H10" s="451">
        <f>IF(ISNUMBER(Datos!O10),Datos!O10," - ")</f>
        <v>17</v>
      </c>
      <c r="I10" s="452">
        <f t="shared" ref="I10:I13" si="2">IF(ISNUMBER(H10/B10),H10/B10," - ")</f>
        <v>17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1103</v>
      </c>
      <c r="E12" s="452">
        <f t="shared" si="0"/>
        <v>183.83333333333334</v>
      </c>
      <c r="F12" s="451">
        <f>IF(ISNUMBER(Datos!N12),Datos!N12," - ")</f>
        <v>2956</v>
      </c>
      <c r="G12" s="452">
        <f t="shared" si="1"/>
        <v>492.66666666666669</v>
      </c>
      <c r="H12" s="451">
        <f>IF(ISNUMBER(Datos!O12),Datos!O12," - ")</f>
        <v>1913</v>
      </c>
      <c r="I12" s="452">
        <f t="shared" si="2"/>
        <v>318.83333333333331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1143</v>
      </c>
      <c r="E14" s="1147">
        <f t="shared" si="0"/>
        <v>163.28571428571428</v>
      </c>
      <c r="F14" s="1146">
        <f>SUBTOTAL(9,F9:F13)</f>
        <v>3033</v>
      </c>
      <c r="G14" s="1147">
        <f t="shared" si="1"/>
        <v>433.28571428571428</v>
      </c>
      <c r="H14" s="1146">
        <f>SUBTOTAL(9,H9:H13)</f>
        <v>1930</v>
      </c>
      <c r="I14" s="1147">
        <f>IF(ISNUMBER(H14/B14),H14/B14," - ")</f>
        <v>275.71428571428572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716</v>
      </c>
      <c r="E17" s="452">
        <f t="shared" si="3"/>
        <v>119.33333333333333</v>
      </c>
      <c r="F17" s="451">
        <f>IF(ISNUMBER(Datos!N17),Datos!N17," - ")</f>
        <v>5307</v>
      </c>
      <c r="G17" s="452">
        <f t="shared" si="4"/>
        <v>884.5</v>
      </c>
      <c r="H17" s="451">
        <f>IF(ISNUMBER(Datos!O17),Datos!O17," - ")</f>
        <v>35</v>
      </c>
      <c r="I17" s="452">
        <f t="shared" si="5"/>
        <v>5.833333333333333</v>
      </c>
    </row>
    <row r="18" spans="1:9">
      <c r="A18" s="450" t="str">
        <f>Datos!A18</f>
        <v>Jdos. Violencia contra la mujer</v>
      </c>
      <c r="B18" s="480">
        <f>Datos!AO18</f>
        <v>1</v>
      </c>
      <c r="C18" s="481">
        <f>Datos!AQ18</f>
        <v>1</v>
      </c>
      <c r="D18" s="451">
        <f>IF(ISNUMBER(Datos!M18),Datos!M18," - ")</f>
        <v>59</v>
      </c>
      <c r="E18" s="452">
        <f>IF(ISNUMBER(D18/B18),D18/B18," - ")</f>
        <v>59</v>
      </c>
      <c r="F18" s="451">
        <f>IF(ISNUMBER(Datos!N18),Datos!N18," - ")</f>
        <v>710</v>
      </c>
      <c r="G18" s="452">
        <f>IF(ISNUMBER(F18/B18),F18/B18," - ")</f>
        <v>710</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775</v>
      </c>
      <c r="E23" s="1147">
        <f t="shared" si="3"/>
        <v>110.71428571428571</v>
      </c>
      <c r="F23" s="1146">
        <f>SUBTOTAL(9,F16:F22)</f>
        <v>6017</v>
      </c>
      <c r="G23" s="1147">
        <f t="shared" si="4"/>
        <v>859.57142857142856</v>
      </c>
      <c r="H23" s="1146">
        <f>SUBTOTAL(9,H16:H22)</f>
        <v>36</v>
      </c>
      <c r="I23" s="1147">
        <f>IF(ISNUMBER(H23/B23),H23/B23," - ")</f>
        <v>5.1428571428571432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1918</v>
      </c>
      <c r="E31" s="1085">
        <f>IF(ISNUMBER(D31/B31),D31/B31," - ")</f>
        <v>274</v>
      </c>
      <c r="F31" s="1084">
        <f>SUBTOTAL(9,F8:F30)</f>
        <v>9050</v>
      </c>
      <c r="G31" s="1085">
        <f>IF(ISNUMBER(F31/B31),F31/B31," - ")</f>
        <v>1292.8571428571429</v>
      </c>
      <c r="H31" s="1084">
        <f>SUBTOTAL(9,H8:H30)</f>
        <v>1966</v>
      </c>
      <c r="I31" s="1085">
        <f>IF(ISNUMBER(H31/B31),H31/B31," - ")</f>
        <v>280.85714285714283</v>
      </c>
    </row>
    <row r="34" spans="1:1">
      <c r="A34" s="439" t="str">
        <f>Criterios!A4</f>
        <v>Fecha Informe: 15 abr. 2023</v>
      </c>
    </row>
    <row r="39" spans="1:1">
      <c r="A39" s="462"/>
    </row>
  </sheetData>
  <sheetProtection algorithmName="SHA-512" hashValue="k1LIDPFffjDR96GgFjp9ceLgDTLwOYPxV93fx21df/9uSF+xYgq0WpGB6S7xVF8l4KpQ/8dObdgQMu6d3DtCkA==" saltValue="sGOHyvGQjxktnF6F6OYa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COSLADA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27</v>
      </c>
      <c r="C10" s="489">
        <f>IF(ISNUMBER(Datos!Q10),Datos!Q10," - ")</f>
        <v>36</v>
      </c>
      <c r="D10" s="456">
        <f>IF(ISNUMBER(Datos!R10),Datos!R10," - ")</f>
        <v>54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1272</v>
      </c>
      <c r="C12" s="489">
        <f>IF(ISNUMBER(Datos!Q12),Datos!Q12," - ")</f>
        <v>885</v>
      </c>
      <c r="D12" s="456">
        <f>IF(ISNUMBER(Datos!R12),Datos!R12," - ")</f>
        <v>6212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1299</v>
      </c>
      <c r="C14" s="1150">
        <f>SUBTOTAL(9,C9:C13)</f>
        <v>921</v>
      </c>
      <c r="D14" s="1148">
        <f>SUBTOTAL(9,D9:D13)</f>
        <v>6266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234</v>
      </c>
      <c r="C17" s="489">
        <f>IF(ISNUMBER(Datos!Q17),Datos!Q17," - ")</f>
        <v>179</v>
      </c>
      <c r="D17" s="456">
        <f>IF(ISNUMBER(Datos!R17),Datos!R17," - ")</f>
        <v>290</v>
      </c>
    </row>
    <row r="18" spans="1:4">
      <c r="A18" s="450" t="str">
        <f>Datos!A18</f>
        <v>Jdos. Violencia contra la mujer</v>
      </c>
      <c r="B18" s="488">
        <f>IF(ISNUMBER(Datos!P18),Datos!P18," - ")</f>
        <v>7</v>
      </c>
      <c r="C18" s="489">
        <f>IF(ISNUMBER(Datos!Q18),Datos!Q18," - ")</f>
        <v>2</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241</v>
      </c>
      <c r="C23" s="1150">
        <f>SUBTOTAL(9,C16:C22)</f>
        <v>181</v>
      </c>
      <c r="D23" s="1148">
        <f>SUBTOTAL(9,D16:D22)</f>
        <v>296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1540</v>
      </c>
      <c r="C31" s="1089">
        <f>SUBTOTAL(9,C8:C30)</f>
        <v>1102</v>
      </c>
      <c r="D31" s="1090">
        <f>SUBTOTAL(9,D8:D30)</f>
        <v>6562</v>
      </c>
    </row>
    <row r="32" spans="1:4" ht="7.5" customHeight="1"/>
    <row r="33" spans="1:1" ht="6" customHeight="1"/>
    <row r="34" spans="1:1">
      <c r="A34" s="439" t="str">
        <f>Criterios!A4</f>
        <v>Fecha Informe: 15 abr. 2023</v>
      </c>
    </row>
    <row r="39" spans="1:1">
      <c r="A39" s="462"/>
    </row>
  </sheetData>
  <sheetProtection algorithmName="SHA-512" hashValue="BV2lFHbThgWB4AtVSjGpQllCoZDkS4JHXxoEFs90n3YdOdkLYTGC6v3+caGtJWtai5+sPh2beqB6DQKiwLHTsA==" saltValue="JgFQoEQrHbztDd6ZMFoY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COSLADA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-0.49382716049382713</v>
      </c>
      <c r="C10" s="515">
        <f>IF(ISNUMBER((Datos!J10-Datos!T10)/Datos!T10),(Datos!J10-Datos!T10)/Datos!T10," - ")</f>
        <v>-0.18803418803418803</v>
      </c>
      <c r="D10" s="515">
        <f>IF(ISNUMBER((Datos!K10-Datos!U10)/Datos!U10),(Datos!K10-Datos!U10)/Datos!U10," - ")</f>
        <v>-0.30573248407643311</v>
      </c>
      <c r="E10" s="515">
        <f>IF(ISNUMBER((Datos!L10-Datos!V10)/Datos!V10),(Datos!L10-Datos!V10)/Datos!V10," - ")</f>
        <v>-0.34146341463414637</v>
      </c>
      <c r="F10" s="515">
        <f>IF(ISNUMBER((Datos!M10-Datos!W10)/Datos!W10),(Datos!M10-Datos!W10)/Datos!W10," - ")</f>
        <v>-0.32203389830508472</v>
      </c>
      <c r="G10" s="516">
        <f>IF(ISNUMBER((Datos!N10-Datos!X10)/Datos!X10),(Datos!N10-Datos!X10)/Datos!X10," - ")</f>
        <v>0.32758620689655171</v>
      </c>
      <c r="H10" s="514">
        <f>IF(ISNUMBER(((NºAsuntos!G10/NºAsuntos!E10)-Datos!BD10)/Datos!BD10),((NºAsuntos!G10/NºAsuntos!E10)-Datos!BD10)/Datos!BD10," - ")</f>
        <v>-0.14495474354676494</v>
      </c>
      <c r="I10" s="515">
        <f>IF(ISNUMBER(((NºAsuntos!I10/NºAsuntos!G10)-Datos!BE10)/Datos!BE10),((NºAsuntos!I10/NºAsuntos!G10)-Datos!BE10)/Datos!BE10," - ")</f>
        <v>-5.1465652271201548E-2</v>
      </c>
      <c r="J10" s="521">
        <f>IF(ISNUMBER((('Resol  Asuntos'!D10/NºAsuntos!G10)-Datos!BF10)/Datos!BF10),(('Resol  Asuntos'!D10/NºAsuntos!G10)-Datos!BF10)/Datos!BF10," - ")</f>
        <v>-2.3480018659617494E-2</v>
      </c>
      <c r="K10" s="522">
        <f>IF(ISNUMBER((((NºAsuntos!C10+NºAsuntos!E10)/NºAsuntos!G10)-Datos!BG10)/Datos!BG10),(((NºAsuntos!C10+NºAsuntos!E10)/NºAsuntos!G10)-Datos!BG10)/Datos!BG10," - ")</f>
        <v>-1.0657029005652758E-2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-4.7955280964989702E-2</v>
      </c>
      <c r="C12" s="515">
        <f>IF(ISNUMBER(
   IF(J_V="SI",(Datos!J12-Datos!T12)/Datos!T12,(Datos!J12+Datos!Z12-(Datos!T12+Datos!AH12))/(Datos!T12+Datos!AH12))
     ),IF(J_V="SI",(Datos!J12-Datos!T12)/Datos!T12,(Datos!J12+Datos!Z12-(Datos!T12+Datos!AH12))/(Datos!T12+Datos!AH12))," - ")</f>
        <v>9.1704374057315227E-2</v>
      </c>
      <c r="D12" s="515">
        <f>IF(ISNUMBER(
   IF(J_V="SI",(Datos!K12-Datos!U12)/Datos!U12,(Datos!K12+Datos!AA12-(Datos!U12+Datos!AI12))/(Datos!U12+Datos!AI12))
     ),IF(J_V="SI",(Datos!K12-Datos!U12)/Datos!U12,(Datos!K12+Datos!AA12-(Datos!U12+Datos!AI12))/(Datos!U12+Datos!AI12))," - ")</f>
        <v>-0.13170441001191896</v>
      </c>
      <c r="E12" s="515">
        <f>IF(ISNUMBER(
   IF(J_V="SI",(Datos!L12-Datos!V12)/Datos!V12,(Datos!L12+Datos!AB12-(Datos!V12+Datos!AJ12))/(Datos!V12+Datos!AJ12))
     ),IF(J_V="SI",(Datos!L12-Datos!V12)/Datos!V12,(Datos!L12+Datos!AB12-(Datos!V12+Datos!AJ12))/(Datos!V12+Datos!AJ12))," - ")</f>
        <v>0.44221260815822</v>
      </c>
      <c r="F12" s="515">
        <f>IF(ISNUMBER((Datos!M12-Datos!W12)/Datos!W12),(Datos!M12-Datos!W12)/Datos!W12," - ")</f>
        <v>-0.13422291993720564</v>
      </c>
      <c r="G12" s="516">
        <f>IF(ISNUMBER((Datos!N12-Datos!X12)/Datos!X12),(Datos!N12-Datos!X12)/Datos!X12," - ")</f>
        <v>-0.15276583548294639</v>
      </c>
      <c r="H12" s="514">
        <f>IF(ISNUMBER(((NºAsuntos!G12/NºAsuntos!E12)-Datos!BD12)/Datos!BD12),((NºAsuntos!G12/NºAsuntos!E12)-Datos!BD12)/Datos!BD12," - ")</f>
        <v>-0.20464219927867119</v>
      </c>
      <c r="I12" s="515">
        <f>IF(ISNUMBER(((NºAsuntos!I12/NºAsuntos!G12)-Datos!BE12)/Datos!BE12),((NºAsuntos!I12/NºAsuntos!G12)-Datos!BE12)/Datos!BE12," - ")</f>
        <v>0.66096963382943941</v>
      </c>
      <c r="J12" s="521">
        <f>IF(ISNUMBER((('Resol  Asuntos'!D12/NºAsuntos!G12)-Datos!BF12)/Datos!BF12),(('Resol  Asuntos'!D12/NºAsuntos!G12)-Datos!BF12)/Datos!BF12," - ")</f>
        <v>-0.63591151167715454</v>
      </c>
      <c r="K12" s="522">
        <f>IF(ISNUMBER((((NºAsuntos!C12+NºAsuntos!E12)/NºAsuntos!G12)-Datos!BG12)/Datos!BG12),(((NºAsuntos!C12+NºAsuntos!E12)/NºAsuntos!G12)-Datos!BG12)/Datos!BG12," - ")</f>
        <v>0.20278317108251556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-5.8333333333333334E-2</v>
      </c>
      <c r="C14" s="1152">
        <f>IF(ISNUMBER(
   IF(J_V="SI",(Datos!J14-Datos!T14)/Datos!T14,(Datos!J14+Datos!Z14-(Datos!T14+Datos!AH14))/(Datos!T14+Datos!AH14))
     ),IF(J_V="SI",(Datos!J14-Datos!T14)/Datos!T14,(Datos!J14+Datos!Z14-(Datos!T14+Datos!AH14))/(Datos!T14+Datos!AH14))," - ")</f>
        <v>8.6853416333185121E-2</v>
      </c>
      <c r="D14" s="1152">
        <f>IF(ISNUMBER(
   IF(J_V="SI",(Datos!K14-Datos!U14)/Datos!U14,(Datos!K14+Datos!AA14-(Datos!U14+Datos!AI14))/(Datos!U14+Datos!AI14))
     ),IF(J_V="SI",(Datos!K14-Datos!U14)/Datos!U14,(Datos!K14+Datos!AA14-(Datos!U14+Datos!AI14))/(Datos!U14+Datos!AI14))," - ")</f>
        <v>-0.13568204978890669</v>
      </c>
      <c r="E14" s="1152">
        <f>IF(ISNUMBER(
   IF(J_V="SI",(Datos!L14-Datos!V14)/Datos!V14,(Datos!L14+Datos!AB14-(Datos!V14+Datos!AJ14))/(Datos!V14+Datos!AJ14))
     ),IF(J_V="SI",(Datos!L14-Datos!V14)/Datos!V14,(Datos!L14+Datos!AB14-(Datos!V14+Datos!AJ14))/(Datos!V14+Datos!AJ14))," - ")</f>
        <v>0.43240768996032958</v>
      </c>
      <c r="F14" s="1153">
        <f>IF(ISNUMBER((Datos!M14-Datos!W14)/Datos!W14),(Datos!M14-Datos!W14)/Datos!W14," - ")</f>
        <v>-0.14253563390847712</v>
      </c>
      <c r="G14" s="1154">
        <f>IF(ISNUMBER((Datos!N14-Datos!X14)/Datos!X14),(Datos!N14-Datos!X14)/Datos!X14," - ")</f>
        <v>-0.14491119255709051</v>
      </c>
      <c r="H14" s="1154">
        <f>IF(ISNUMBER(((NºAsuntos!G14/NºAsuntos!E14)-Datos!BD14)/Datos!BD14),((NºAsuntos!G14/NºAsuntos!E14)-Datos!BD14)/Datos!BD14," - ")</f>
        <v>-0.20475205099219326</v>
      </c>
      <c r="I14" s="1154">
        <f>IF(ISNUMBER(((NºAsuntos!I14/NºAsuntos!G14)-Datos!BE14)/Datos!BE14),((NºAsuntos!I14/NºAsuntos!G14)-Datos!BE14)/Datos!BE14," - ")</f>
        <v>0.65726939907992321</v>
      </c>
      <c r="J14" s="1154">
        <f>IF(ISNUMBER((('Resol  Asuntos'!D14/NºAsuntos!G14)-Datos!BF14)/Datos!BF14),(('Resol  Asuntos'!D14/NºAsuntos!G14)-Datos!BF14)/Datos!BF14," - ")</f>
        <v>-0.62727451658422451</v>
      </c>
      <c r="K14" s="1154">
        <f>IF(ISNUMBER((((NºAsuntos!C14+NºAsuntos!E14)/NºAsuntos!G14)-Datos!BG14)/Datos!BG14),(((NºAsuntos!C14+NºAsuntos!E14)/NºAsuntos!G14)-Datos!BG14)/Datos!BG14," - ")</f>
        <v>0.20031047289852014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-0.18143459915611815</v>
      </c>
      <c r="C17" s="515">
        <f>IF(ISNUMBER(
   IF(D_I="SI",(Datos!J17-Datos!T17)/Datos!T17,(Datos!J17+Datos!AD17-(Datos!T17+Datos!AL17))/(Datos!T17+Datos!AL17))
     ),IF(D_I="SI",(Datos!J17-Datos!T17)/Datos!T17,(Datos!J17+Datos!AD17-(Datos!T17+Datos!AL17))/(Datos!T17+Datos!AL17))," - ")</f>
        <v>6.0311526479750778E-2</v>
      </c>
      <c r="D17" s="515">
        <f>IF(ISNUMBER(
   IF(D_I="SI",(Datos!K17-Datos!U17)/Datos!U17,(Datos!K17+Datos!AE17-(Datos!U17+Datos!AM17))/(Datos!U17+Datos!AM17))
     ),IF(D_I="SI",(Datos!K17-Datos!U17)/Datos!U17,(Datos!K17+Datos!AE17-(Datos!U17+Datos!AM17))/(Datos!U17+Datos!AM17))," - ")</f>
        <v>-3.777126099706745E-2</v>
      </c>
      <c r="E17" s="515">
        <f>IF(ISNUMBER(
   IF(D_I="SI",(Datos!L17-Datos!V17)/Datos!V17,(Datos!L17+Datos!AF17-(Datos!V17+Datos!AN17))/(Datos!V17+Datos!AN17))
     ),IF(D_I="SI",(Datos!L17-Datos!V17)/Datos!V17,(Datos!L17+Datos!AF17-(Datos!V17+Datos!AN17))/(Datos!V17+Datos!AN17))," - ")</f>
        <v>0.32547864506627394</v>
      </c>
      <c r="F17" s="515">
        <f>IF(ISNUMBER((Datos!M17-Datos!W17)/Datos!W17),(Datos!M17-Datos!W17)/Datos!W17," - ")</f>
        <v>-0.19004524886877827</v>
      </c>
      <c r="G17" s="516">
        <f>IF(ISNUMBER((Datos!N17-Datos!X17)/Datos!X17),(Datos!N17-Datos!X17)/Datos!X17," - ")</f>
        <v>-1.6129032258064516E-2</v>
      </c>
      <c r="H17" s="514">
        <f>IF(ISNUMBER(((NºAsuntos!G17/NºAsuntos!E17)-Datos!BD17)/Datos!BD17),((NºAsuntos!G17/NºAsuntos!E17)-Datos!BD17)/Datos!BD17," - ")</f>
        <v>-9.2503745387409367E-2</v>
      </c>
      <c r="I17" s="515">
        <f>IF(ISNUMBER(((NºAsuntos!I17/NºAsuntos!G17)-Datos!BE17)/Datos!BE17),((NºAsuntos!I17/NºAsuntos!G17)-Datos!BE17)/Datos!BE17," - ")</f>
        <v>0.37750889298914853</v>
      </c>
      <c r="J17" s="521">
        <f>IF(ISNUMBER((('Resol  Asuntos'!D17/NºAsuntos!G17)-Datos!BF17)/Datos!BF17),(('Resol  Asuntos'!D17/NºAsuntos!G17)-Datos!BF17)/Datos!BF17," - ")</f>
        <v>-0.15825134055910461</v>
      </c>
      <c r="K17" s="522">
        <f>IF(ISNUMBER((((NºAsuntos!C17+NºAsuntos!E17)/NºAsuntos!G17)-Datos!BG17)/Datos!BG17),(((NºAsuntos!C17+NºAsuntos!E17)/NºAsuntos!G17)-Datos!BG17)/Datos!BG17," - ")</f>
        <v>5.8892868855517373E-2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-0.61111111111111116</v>
      </c>
      <c r="C18" s="515">
        <f>IF(ISNUMBER(
   IF(D_I="SI",(Datos!J18-Datos!T18)/Datos!T18,(Datos!J18+Datos!AD18-(Datos!T18+Datos!AL18))/(Datos!T18+Datos!AL18))
     ),IF(D_I="SI",(Datos!J18-Datos!T18)/Datos!T18,(Datos!J18+Datos!AD18-(Datos!T18+Datos!AL18))/(Datos!T18+Datos!AL18))," - ")</f>
        <v>-5.4298642533936649E-3</v>
      </c>
      <c r="D18" s="515">
        <f>IF(ISNUMBER(
   IF(D_I="SI",(Datos!K18-Datos!U18)/Datos!U18,(Datos!K18+Datos!AE18-(Datos!U18+Datos!AM18))/(Datos!U18+Datos!AM18))
     ),IF(D_I="SI",(Datos!K18-Datos!U18)/Datos!U18,(Datos!K18+Datos!AE18-(Datos!U18+Datos!AM18))/(Datos!U18+Datos!AM18))," - ")</f>
        <v>-7.1129707112970716E-2</v>
      </c>
      <c r="E18" s="515">
        <f>IF(ISNUMBER(
   IF(D_I="SI",(Datos!L18-Datos!V18)/Datos!V18,(Datos!L18+Datos!AF18-(Datos!V18+Datos!AN18))/(Datos!V18+Datos!AN18))
     ),IF(D_I="SI",(Datos!L18-Datos!V18)/Datos!V18,(Datos!L18+Datos!AF18-(Datos!V18+Datos!AN18))/(Datos!V18+Datos!AN18))," - ")</f>
        <v>-0.17857142857142858</v>
      </c>
      <c r="F18" s="515">
        <f>IF(ISNUMBER((Datos!M18-Datos!W18)/Datos!W18),(Datos!M18-Datos!W18)/Datos!W18," - ")</f>
        <v>0.20408163265306123</v>
      </c>
      <c r="G18" s="516">
        <f>IF(ISNUMBER((Datos!N18-Datos!X18)/Datos!X18),(Datos!N18-Datos!X18)/Datos!X18," - ")</f>
        <v>-9.3231162196679443E-2</v>
      </c>
      <c r="H18" s="514">
        <f>IF(ISNUMBER(((NºAsuntos!G18/NºAsuntos!E18)-Datos!BD18)/Datos!BD18),((NºAsuntos!G18/NºAsuntos!E18)-Datos!BD18)/Datos!BD18," - ")</f>
        <v>-6.6058531719592847E-2</v>
      </c>
      <c r="I18" s="515">
        <f>IF(ISNUMBER(((NºAsuntos!I18/NºAsuntos!G18)-Datos!BE18)/Datos!BE18),((NºAsuntos!I18/NºAsuntos!G18)-Datos!BE18)/Datos!BE18," - ")</f>
        <v>-0.1156692406692407</v>
      </c>
      <c r="J18" s="521">
        <f>IF(ISNUMBER((('Resol  Asuntos'!D18/NºAsuntos!G18)-Datos!BF18)/Datos!BF18),(('Resol  Asuntos'!D18/NºAsuntos!G18)-Datos!BF18)/Datos!BF18," - ")</f>
        <v>0.29628608200036771</v>
      </c>
      <c r="K18" s="522">
        <f>IF(ISNUMBER((((NºAsuntos!C18+NºAsuntos!E18)/NºAsuntos!G18)-Datos!BG18)/Datos!BG18),(((NºAsuntos!C18+NºAsuntos!E18)/NºAsuntos!G18)-Datos!BG18)/Datos!BG18," - ")</f>
        <v>-4.446800683790296E-3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-0.21575152523571825</v>
      </c>
      <c r="C23" s="1152">
        <f>IF(ISNUMBER(
   IF(Criterios!B14="SI",(Datos!J23-Datos!T23)/Datos!T23,(Datos!J23+Datos!AD23-(Datos!T23+Datos!AL23))/(Datos!T23+Datos!AL23))
     ),IF(Criterios!B14="SI",(Datos!J23-Datos!T23)/Datos!T23,(Datos!J23+Datos!AD23-(Datos!T23+Datos!AL23))/(Datos!T23+Datos!AL23))," - ")</f>
        <v>5.2354874041621029E-2</v>
      </c>
      <c r="D23" s="1152">
        <f>IF(ISNUMBER(
   IF(Criterios!B14="SI",(Datos!K23-Datos!U23)/Datos!U23,(Datos!K23+Datos!AE23-(Datos!U23+Datos!AM23))/(Datos!U23+Datos!AM23))
     ),IF(Criterios!B14="SI",(Datos!K23-Datos!U23)/Datos!U23,(Datos!K23+Datos!AE23-(Datos!U23+Datos!AM23))/(Datos!U23+Datos!AM23))," - ")</f>
        <v>-4.1872427983539094E-2</v>
      </c>
      <c r="E23" s="1152">
        <f>IF(ISNUMBER(
   IF(Criterios!B14="SI",(Datos!L23-Datos!V23)/Datos!V23,(Datos!L23+Datos!AF23-(Datos!V23+Datos!AN23))/(Datos!V23+Datos!AN23))
     ),IF(Criterios!B14="SI",(Datos!L23-Datos!V23)/Datos!V23,(Datos!L23+Datos!AF23-(Datos!V23+Datos!AN23))/(Datos!V23+Datos!AN23))," - ")</f>
        <v>0.30551626591230552</v>
      </c>
      <c r="F23" s="1153">
        <f>IF(ISNUMBER((Datos!M23-Datos!W23)/Datos!W23),(Datos!M23-Datos!W23)/Datos!W23," - ")</f>
        <v>-0.16934619506966775</v>
      </c>
      <c r="G23" s="1154">
        <f>IF(ISNUMBER((Datos!N23-Datos!X23)/Datos!X23),(Datos!N23-Datos!X23)/Datos!X23," - ")</f>
        <v>-2.5902541686903029E-2</v>
      </c>
      <c r="H23" s="1154">
        <f>IF(ISNUMBER(((NºAsuntos!G23/NºAsuntos!E23)-Datos!BD23)/Datos!BD23),((NºAsuntos!G23/NºAsuntos!E23)-Datos!BD23)/Datos!BD23," - ")</f>
        <v>-8.9539474135065744E-2</v>
      </c>
      <c r="I23" s="1154">
        <f>IF(ISNUMBER(((NºAsuntos!I23/NºAsuntos!G23)-Datos!BE23)/Datos!BE23),((NºAsuntos!I23/NºAsuntos!G23)-Datos!BE23)/Datos!BE23," - ")</f>
        <v>0.36257039672153002</v>
      </c>
      <c r="J23" s="1154">
        <f>IF(ISNUMBER((('Resol  Asuntos'!D23/NºAsuntos!G23)-Datos!BF23)/Datos!BF23),(('Resol  Asuntos'!D23/NºAsuntos!G23)-Datos!BF23)/Datos!BF23," - ")</f>
        <v>-0.1330446704689327</v>
      </c>
      <c r="K23" s="1154">
        <f>IF(ISNUMBER((((NºAsuntos!C23+NºAsuntos!E23)/NºAsuntos!G23)-Datos!BG23)/Datos!BG23),(((NºAsuntos!C23+NºAsuntos!E23)/NºAsuntos!G23)-Datos!BG23)/Datos!BG23," - ")</f>
        <v>5.2198602286808234E-2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-0.11205754306265379</v>
      </c>
      <c r="C31" s="1092">
        <f>IF(ISNUMBER(
   IF(J_V="SI",(Datos!J31-Datos!T31)/Datos!T31,(Datos!J31+Datos!Z31-(Datos!T31+Datos!AH31))/(Datos!T31+Datos!AH31))
     ),IF(J_V="SI",(Datos!J31-Datos!T31)/Datos!T31,(Datos!J31+Datos!Z31-(Datos!T31+Datos!AH31))/(Datos!T31+Datos!AH31))," - ")</f>
        <v>6.7015179190023311E-2</v>
      </c>
      <c r="D31" s="1092">
        <f>IF(ISNUMBER(
   IF(J_V="SI",(Datos!K31-Datos!U31)/Datos!U31,(Datos!K31+Datos!AA31-(Datos!U31+Datos!AI31))/(Datos!U31+Datos!AI31))
     ),IF(J_V="SI",(Datos!K31-Datos!U31)/Datos!U31,(Datos!K31+Datos!AA31-(Datos!U31+Datos!AI31))/(Datos!U31+Datos!AI31))," - ")</f>
        <v>-8.0716137199348961E-2</v>
      </c>
      <c r="E31" s="1092">
        <f>IF(ISNUMBER(
   IF(J_V="SI",(Datos!L31-Datos!V31)/Datos!V31,(Datos!L31+Datos!AB31-(Datos!V31+Datos!AJ31))/(Datos!V31+Datos!AJ31))
     ),IF(J_V="SI",(Datos!L31-Datos!V31)/Datos!V31,(Datos!L31+Datos!AB31-(Datos!V31+Datos!AJ31))/(Datos!V31+Datos!AJ31))," - ")</f>
        <v>0.39415902792581536</v>
      </c>
      <c r="F31" s="1093">
        <f>IF(ISNUMBER((Datos!M31-Datos!W31)/Datos!W31),(Datos!M31-Datos!W31)/Datos!W31," - ")</f>
        <v>-0.15357458075904679</v>
      </c>
      <c r="G31" s="1094">
        <f>IF(ISNUMBER((Datos!N31-Datos!X31)/Datos!X31),(Datos!N31-Datos!X31)/Datos!X31," - ")</f>
        <v>-6.93130399012752E-2</v>
      </c>
      <c r="H31" s="1095">
        <f>IF(ISNUMBER((Tasas!B31-Datos!BD31)/Datos!BD31),(Tasas!B31-Datos!BD31)/Datos!BD31," - ")</f>
        <v>-0.13845287234012529</v>
      </c>
      <c r="I31" s="1096">
        <f>IF(ISNUMBER((Tasas!C31-Datos!BE31)/Datos!BE31),(Tasas!C31-Datos!BE31)/Datos!BE31," - ")</f>
        <v>0.51657076159090831</v>
      </c>
      <c r="J31" s="1097">
        <f>IF(ISNUMBER((Tasas!D31-Datos!BF31)/Datos!BF31),(Tasas!D31-Datos!BF31)/Datos!BF31," - ")</f>
        <v>-0.53438815252742922</v>
      </c>
      <c r="K31" s="1097">
        <f>IF(ISNUMBER((Tasas!E31-Datos!BG31)/Datos!BG31),(Tasas!E31-Datos!BG31)/Datos!BG31," - ")</f>
        <v>0.1120680777216525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0aqYmdEcHk3XV+lsJa0rswaF8ht8SWYmzCAvrkEsUUu57/A+g/V4bSFE73VWMnZg/yA0f3LIxnqJ0hLy4v7Kw==" saltValue="SEQXCx/VrrhrPzsM3LN2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COSLADA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1.1473684210526316</v>
      </c>
      <c r="C10" s="498">
        <f>IF(ISNUMBER(NºAsuntos!I10/NºAsuntos!G10),NºAsuntos!I10/NºAsuntos!G10," - ")</f>
        <v>0.24770642201834864</v>
      </c>
      <c r="D10" s="499">
        <f>IF(ISNUMBER('Resol  Asuntos'!D10/NºAsuntos!G10),'Resol  Asuntos'!D10/NºAsuntos!G10," - ")</f>
        <v>0.3669724770642202</v>
      </c>
      <c r="E10" s="500">
        <f>IF(ISNUMBER((NºAsuntos!C10+NºAsuntos!E10)/NºAsuntos!G10),(NºAsuntos!C10+NºAsuntos!E10)/NºAsuntos!G10," - ")</f>
        <v>1.2477064220183487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0.80519480519480524</v>
      </c>
      <c r="C12" s="498">
        <f>IF(ISNUMBER(NºAsuntos!I12/NºAsuntos!G12),NºAsuntos!I12/NºAsuntos!G12," - ")</f>
        <v>0.80078929306794788</v>
      </c>
      <c r="D12" s="499">
        <f>IF(ISNUMBER('Resol  Asuntos'!D12/NºAsuntos!G12),'Resol  Asuntos'!D12/NºAsuntos!G12," - ")</f>
        <v>0.18925875085792726</v>
      </c>
      <c r="E12" s="500">
        <f>IF(ISNUMBER((NºAsuntos!C12+NºAsuntos!E12)/NºAsuntos!G12),(NºAsuntos!C12+NºAsuntos!E12)/NºAsuntos!G12," - ")</f>
        <v>1.7971859986273164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0.80962771035047043</v>
      </c>
      <c r="C14" s="1156">
        <f>IF(ISNUMBER(NºAsuntos!I14/NºAsuntos!G14),NºAsuntos!I14/NºAsuntos!G14," - ")</f>
        <v>0.79063500084217619</v>
      </c>
      <c r="D14" s="1157">
        <f>IF(ISNUMBER('Resol  Asuntos'!D14/NºAsuntos!G14),'Resol  Asuntos'!D14/NºAsuntos!G14," - ")</f>
        <v>0.19252147549267307</v>
      </c>
      <c r="E14" s="1158">
        <f>IF(ISNUMBER((NºAsuntos!C14+NºAsuntos!E14)/NºAsuntos!G14),(NºAsuntos!C14+NºAsuntos!E14)/NºAsuntos!G14," - ")</f>
        <v>1.7870978608724946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0.964038077329886</v>
      </c>
      <c r="C17" s="498">
        <f>IF(ISNUMBER(NºAsuntos!I17/NºAsuntos!G17),NºAsuntos!I17/NºAsuntos!G17," - ")</f>
        <v>0.21943191515299282</v>
      </c>
      <c r="D17" s="499">
        <f>IF(ISNUMBER('Resol  Asuntos'!D17/NºAsuntos!G17),'Resol  Asuntos'!D17/NºAsuntos!G17," - ")</f>
        <v>8.728513958307936E-2</v>
      </c>
      <c r="E17" s="500">
        <f>IF(ISNUMBER((NºAsuntos!C17+NºAsuntos!E17)/NºAsuntos!G17),(NºAsuntos!C17+NºAsuntos!E17)/NºAsuntos!G17," - ")</f>
        <v>1.2028526148969889</v>
      </c>
      <c r="G17" s="523"/>
    </row>
    <row r="18" spans="1:7">
      <c r="A18" s="450" t="str">
        <f>Datos!A18</f>
        <v>Jdos. Violencia contra la mujer</v>
      </c>
      <c r="B18" s="497">
        <f>IF(ISNUMBER(NºAsuntos!G18/NºAsuntos!E18),NºAsuntos!G18/NºAsuntos!E18," - ")</f>
        <v>1.0100090991810737</v>
      </c>
      <c r="C18" s="498">
        <f>IF(ISNUMBER(NºAsuntos!I18/NºAsuntos!G18),NºAsuntos!I18/NºAsuntos!G18," - ")</f>
        <v>4.1441441441441441E-2</v>
      </c>
      <c r="D18" s="499">
        <f>IF(ISNUMBER('Resol  Asuntos'!D18/NºAsuntos!G18),'Resol  Asuntos'!D18/NºAsuntos!G18," - ")</f>
        <v>5.3153153153153151E-2</v>
      </c>
      <c r="E18" s="500">
        <f>IF(ISNUMBER((NºAsuntos!C18+NºAsuntos!E18)/NºAsuntos!G18),(NºAsuntos!C18+NºAsuntos!E18)/NºAsuntos!G18," - ")</f>
        <v>1.0405405405405406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0.96929641965029145</v>
      </c>
      <c r="C23" s="1156">
        <f>IF(ISNUMBER(NºAsuntos!I23/NºAsuntos!G23),NºAsuntos!I23/NºAsuntos!G23," - ")</f>
        <v>0.19821754536669173</v>
      </c>
      <c r="D23" s="1159">
        <f>IF(ISNUMBER('Resol  Asuntos'!D23/NºAsuntos!G23),'Resol  Asuntos'!D23/NºAsuntos!G23," - ")</f>
        <v>8.3217008482766031E-2</v>
      </c>
      <c r="E23" s="1158">
        <f>IF(ISNUMBER((NºAsuntos!C23+NºAsuntos!E23)/NºAsuntos!G23),(NºAsuntos!C23+NºAsuntos!E23)/NºAsuntos!G23," - ")</f>
        <v>1.1835069258026414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0.90018298801723629</v>
      </c>
      <c r="C31" s="1099">
        <f>IF(ISNUMBER(NºAsuntos!I31/NºAsuntos!G31),NºAsuntos!I31/NºAsuntos!G31," - ")</f>
        <v>0.42885245901639346</v>
      </c>
      <c r="D31" s="1100">
        <f>IF(ISNUMBER('Resol  Asuntos'!D31/NºAsuntos!G31),'Resol  Asuntos'!D31/NºAsuntos!G31," - ")</f>
        <v>0.12577049180327868</v>
      </c>
      <c r="E31" s="1101">
        <f>IF(ISNUMBER((NºAsuntos!C31+NºAsuntos!E31)/NºAsuntos!G31),(NºAsuntos!C31+NºAsuntos!E31)/NºAsuntos!G31," - ")</f>
        <v>1.4184918032786886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6kJCtVMkJ/W+ZajO/6hv+Ak99oIS3ZFr0HIjBSBjGP03Ff5BRwru6bhWkMjDIR8y5/0hfz3bsBKtdXLHD4I1g==" saltValue="dM/X23cgPVktvZwyup8i0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COSLADA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41</v>
      </c>
      <c r="G10" s="373">
        <f>IF(ISNUMBER(Datos!I10),Datos!I10," - ")</f>
        <v>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109</v>
      </c>
      <c r="X10" s="240">
        <f>IF(ISNUMBER(Datos!Q10),Datos!Q10," - ")</f>
        <v>36</v>
      </c>
      <c r="Y10" s="374">
        <f t="shared" ref="Y10:Y13" si="0">SUM(W10:X10)</f>
        <v>145</v>
      </c>
      <c r="Z10" s="375" t="str">
        <f>IF(ISNUMBER(Datos!CC10),Datos!CC10," - ")</f>
        <v xml:space="preserve"> - </v>
      </c>
      <c r="AA10" s="372">
        <f>IF(ISNUMBER(Datos!L10),Datos!L10,"-")</f>
        <v>27</v>
      </c>
      <c r="AB10" s="374">
        <f>IF(ISNUMBER(Datos!R10),Datos!R10," - ")</f>
        <v>54</v>
      </c>
      <c r="AC10" s="374">
        <f t="shared" ref="AC10:AC13" si="1">IF(ISNUMBER(AA10+AB10),AA10+AB10," - ")</f>
        <v>81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40</v>
      </c>
      <c r="AJ10" s="245" t="str">
        <f>IF(ISNUMBER(Datos!BW10),Datos!BW10," - ")</f>
        <v xml:space="preserve"> - </v>
      </c>
      <c r="AK10" s="246" t="str">
        <f>IF(ISNUMBER(Datos!BX10),Datos!BX10," - ")</f>
        <v xml:space="preserve"> - </v>
      </c>
      <c r="AL10" s="266">
        <f>IF(ISNUMBER(NºAsuntos!G10/NºAsuntos!E10),NºAsuntos!G10/NºAsuntos!E10," - ")</f>
        <v>1.1473684210526316</v>
      </c>
      <c r="AM10" s="284">
        <f>IF(ISNUMBER(((NºAsuntos!I10/NºAsuntos!G10)*11)/factor_trimestre),((NºAsuntos!I10/NºAsuntos!G10)*11)/factor_trimestre," - ")</f>
        <v>2.7247706422018352</v>
      </c>
      <c r="AN10" s="267">
        <f>IF(ISNUMBER('Resol  Asuntos'!D10/NºAsuntos!G10),'Resol  Asuntos'!D10/NºAsuntos!G10," - ")</f>
        <v>0.3669724770642202</v>
      </c>
      <c r="AO10" s="268">
        <f>IF(ISNUMBER((NºAsuntos!C10+NºAsuntos!E10)/NºAsuntos!G10),(NºAsuntos!C10+NºAsuntos!E10)/NºAsuntos!G10," - ")</f>
        <v>1.2477064220183487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1272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885</v>
      </c>
      <c r="Y12" s="374">
        <f t="shared" si="0"/>
        <v>885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1103</v>
      </c>
      <c r="AJ12" s="243" t="str">
        <f>IF(ISNUMBER(Datos!BW12),Datos!BW12," - ")</f>
        <v xml:space="preserve"> - </v>
      </c>
      <c r="AK12" s="242" t="str">
        <f>IF(ISNUMBER(Datos!BX12),Datos!BX12," - ")</f>
        <v xml:space="preserve"> - </v>
      </c>
      <c r="AL12" s="266">
        <f>IF(ISNUMBER(NºAsuntos!G12/NºAsuntos!E12),NºAsuntos!G12/NºAsuntos!E12," - ")</f>
        <v>0.80519480519480524</v>
      </c>
      <c r="AM12" s="284">
        <f>IF(ISNUMBER(((NºAsuntos!I12/NºAsuntos!G12)*11)/factor_trimestre),((NºAsuntos!I12/NºAsuntos!G12)*11)/factor_trimestre," - ")</f>
        <v>8.8086822237474269</v>
      </c>
      <c r="AN12" s="267">
        <f>IF(ISNUMBER('Resol  Asuntos'!D12/NºAsuntos!G12),'Resol  Asuntos'!D12/NºAsuntos!G12," - ")</f>
        <v>0.18925875085792726</v>
      </c>
      <c r="AO12" s="268">
        <f>IF(ISNUMBER((NºAsuntos!C12+NºAsuntos!E12)/NºAsuntos!G12),(NºAsuntos!C12+NºAsuntos!E12)/NºAsuntos!G12," - ")</f>
        <v>1.7971859986273164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41</v>
      </c>
      <c r="G14" s="1163">
        <f t="shared" si="5"/>
        <v>41</v>
      </c>
      <c r="H14" s="1162">
        <f t="shared" si="5"/>
        <v>0</v>
      </c>
      <c r="I14" s="1164">
        <f t="shared" si="5"/>
        <v>0</v>
      </c>
      <c r="J14" s="1164">
        <f t="shared" si="5"/>
        <v>0</v>
      </c>
      <c r="K14" s="1164">
        <f t="shared" si="5"/>
        <v>0</v>
      </c>
      <c r="L14" s="1164">
        <f t="shared" si="5"/>
        <v>1299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109</v>
      </c>
      <c r="X14" s="1164">
        <f t="shared" si="6"/>
        <v>921</v>
      </c>
      <c r="Y14" s="1165">
        <f t="shared" si="6"/>
        <v>1030</v>
      </c>
      <c r="Z14" s="1165">
        <f t="shared" si="6"/>
        <v>0</v>
      </c>
      <c r="AA14" s="1165">
        <f t="shared" si="6"/>
        <v>27</v>
      </c>
      <c r="AB14" s="1165">
        <f t="shared" si="6"/>
        <v>6266</v>
      </c>
      <c r="AC14" s="1165">
        <f t="shared" si="6"/>
        <v>81</v>
      </c>
      <c r="AD14" s="1165">
        <f t="shared" si="6"/>
        <v>0</v>
      </c>
      <c r="AE14" s="1169">
        <f t="shared" si="6"/>
        <v>0</v>
      </c>
      <c r="AF14" s="1162">
        <f t="shared" si="6"/>
        <v>0</v>
      </c>
      <c r="AG14" s="1170">
        <f t="shared" si="6"/>
        <v>0</v>
      </c>
      <c r="AH14" s="1167">
        <f t="shared" si="6"/>
        <v>0</v>
      </c>
      <c r="AI14" s="1162">
        <f t="shared" si="6"/>
        <v>1143</v>
      </c>
      <c r="AJ14" s="1164">
        <f t="shared" si="6"/>
        <v>0</v>
      </c>
      <c r="AK14" s="1167">
        <f>SUBTOTAL(9,AK9:AK13)</f>
        <v>0</v>
      </c>
      <c r="AL14" s="1171">
        <f>IF(ISNUMBER(NºAsuntos!G14/NºAsuntos!E14),NºAsuntos!G14/NºAsuntos!E14," - ")</f>
        <v>0.80962771035047043</v>
      </c>
      <c r="AM14" s="1171">
        <f>IF(ISNUMBER(((NºAsuntos!I14/NºAsuntos!G14)*11)/factor_trimestre),((NºAsuntos!I14/NºAsuntos!G14)*11)/factor_trimestre," - ")</f>
        <v>8.6969850092639387</v>
      </c>
      <c r="AN14" s="1172">
        <f>IF(ISNUMBER('Resol  Asuntos'!D14/NºAsuntos!G14),'Resol  Asuntos'!D14/NºAsuntos!G14," - ")</f>
        <v>0.19252147549267307</v>
      </c>
      <c r="AO14" s="1173">
        <f>IF(ISNUMBER((NºAsuntos!C14+NºAsuntos!E14)/NºAsuntos!G14),(NºAsuntos!C14+NºAsuntos!E14)/NºAsuntos!G14," - ")</f>
        <v>1.7870978608724946</v>
      </c>
      <c r="AP14" s="1174" t="str">
        <f t="shared" si="2"/>
        <v xml:space="preserve"> - </v>
      </c>
      <c r="AQ14" s="1174">
        <f>IF(ISNUMBER((H14-W14+K14)/(F14)),(H14-W14+K14)/(F14)," - ")</f>
        <v>-2.6585365853658538</v>
      </c>
      <c r="AR14" s="1175">
        <f>IF(ISNUMBER((Datos!P14-Datos!Q14)/(Datos!R14-Datos!P14+Datos!Q14)),(Datos!P14-Datos!Q14)/(Datos!R14-Datos!P14+Datos!Q14)," - ")</f>
        <v>6.4198369565217392E-2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1494</v>
      </c>
      <c r="G17" s="373">
        <f>IF(ISNUMBER(IF(D_I="SI",Datos!I17,Datos!I17+Datos!AC17)),IF(D_I="SI",Datos!I17,Datos!I17+Datos!AC17)," - ")</f>
        <v>1358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8203</v>
      </c>
      <c r="X17" s="240">
        <f>IF(ISNUMBER(Datos!Q17),Datos!Q17," - ")</f>
        <v>179</v>
      </c>
      <c r="Y17" s="374">
        <f t="shared" ref="Y17:Y22" si="9">SUM(W17:X17)</f>
        <v>8382</v>
      </c>
      <c r="Z17" s="375" t="str">
        <f>IF(ISNUMBER(Datos!CC17),Datos!CC17," - ")</f>
        <v xml:space="preserve"> - </v>
      </c>
      <c r="AA17" s="372">
        <f>IF(ISNUMBER(IF(D_I="SI",Datos!L17,Datos!L17+Datos!AF17)),IF(D_I="SI",Datos!L17,Datos!L17+Datos!AF17)," - ")</f>
        <v>1800</v>
      </c>
      <c r="AB17" s="374">
        <f>IF(ISNUMBER(Datos!R17),Datos!R17," - ")</f>
        <v>290</v>
      </c>
      <c r="AC17" s="374">
        <f t="shared" si="8"/>
        <v>2090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716</v>
      </c>
      <c r="AJ17" s="245" t="str">
        <f>IF(ISNUMBER(Datos!BW17),Datos!BW17," - ")</f>
        <v xml:space="preserve"> - </v>
      </c>
      <c r="AK17" s="246" t="str">
        <f>IF(ISNUMBER(Datos!BX17),Datos!BX17," - ")</f>
        <v xml:space="preserve"> - </v>
      </c>
      <c r="AL17" s="266">
        <f>IF(ISNUMBER(NºAsuntos!G17/NºAsuntos!E17),NºAsuntos!G17/NºAsuntos!E17," - ")</f>
        <v>0.964038077329886</v>
      </c>
      <c r="AM17" s="284">
        <f>IF(ISNUMBER(((NºAsuntos!I17/NºAsuntos!G17)*11)/factor_trimestre),((NºAsuntos!I17/NºAsuntos!G17)*11)/factor_trimestre," - ")</f>
        <v>2.4137510666829209</v>
      </c>
      <c r="AN17" s="267">
        <f>IF(ISNUMBER('Resol  Asuntos'!D17/NºAsuntos!G17),'Resol  Asuntos'!D17/NºAsuntos!G17," - ")</f>
        <v>8.728513958307936E-2</v>
      </c>
      <c r="AO17" s="268">
        <f>IF(ISNUMBER((NºAsuntos!C17+NºAsuntos!E17)/NºAsuntos!G17),(NºAsuntos!C17+NºAsuntos!E17)/NºAsuntos!G17," - ")</f>
        <v>1.2028526148969889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1110</v>
      </c>
      <c r="X18" s="240">
        <f>IF(ISNUMBER(Datos!Q18),Datos!Q18," - ")</f>
        <v>2</v>
      </c>
      <c r="Y18" s="374">
        <f t="shared" si="9"/>
        <v>1112</v>
      </c>
      <c r="Z18" s="375" t="str">
        <f>IF(ISNUMBER(Datos!CC18),Datos!CC18," - ")</f>
        <v xml:space="preserve"> - </v>
      </c>
      <c r="AA18" s="372">
        <f>IF(ISNUMBER(Datos!L18),Datos!L18,"-")</f>
        <v>46</v>
      </c>
      <c r="AB18" s="374">
        <f>IF(ISNUMBER(Datos!R18),Datos!R18," - ")</f>
        <v>6</v>
      </c>
      <c r="AC18" s="374">
        <f t="shared" si="8"/>
        <v>52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59</v>
      </c>
      <c r="AJ18" s="245" t="str">
        <f>IF(ISNUMBER(Datos!BW18),Datos!BW18," - ")</f>
        <v xml:space="preserve"> - </v>
      </c>
      <c r="AK18" s="246" t="str">
        <f>IF(ISNUMBER(Datos!BX18),Datos!BX18," - ")</f>
        <v xml:space="preserve"> - </v>
      </c>
      <c r="AL18" s="266">
        <f>IF(ISNUMBER(NºAsuntos!G18/NºAsuntos!E18),NºAsuntos!G18/NºAsuntos!E18," - ")</f>
        <v>1.0100090991810737</v>
      </c>
      <c r="AM18" s="284">
        <f>IF(ISNUMBER(((NºAsuntos!I18/NºAsuntos!G18)*11)/factor_trimestre),((NºAsuntos!I18/NºAsuntos!G18)*11)/factor_trimestre," - ")</f>
        <v>0.45585585585585586</v>
      </c>
      <c r="AN18" s="267">
        <f>IF(ISNUMBER('Resol  Asuntos'!D18/NºAsuntos!G18),'Resol  Asuntos'!D18/NºAsuntos!G18," - ")</f>
        <v>5.3153153153153151E-2</v>
      </c>
      <c r="AO18" s="268">
        <f>IF(ISNUMBER((NºAsuntos!C18+NºAsuntos!E18)/NºAsuntos!G18),(NºAsuntos!C18+NºAsuntos!E18)/NºAsuntos!G18," - ")</f>
        <v>1.0405405405405406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1494</v>
      </c>
      <c r="G23" s="1163">
        <f>SUBTOTAL(9,G16:G22)</f>
        <v>1414</v>
      </c>
      <c r="H23" s="1162">
        <f t="shared" ref="H23:O23" si="13">SUBTOTAL(9,H15:H22)</f>
        <v>0</v>
      </c>
      <c r="I23" s="1164">
        <f t="shared" si="13"/>
        <v>0</v>
      </c>
      <c r="J23" s="1164">
        <f t="shared" si="13"/>
        <v>0</v>
      </c>
      <c r="K23" s="1164">
        <f t="shared" si="13"/>
        <v>0</v>
      </c>
      <c r="L23" s="1164">
        <f t="shared" si="13"/>
        <v>241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9313</v>
      </c>
      <c r="X23" s="1164">
        <f t="shared" si="14"/>
        <v>181</v>
      </c>
      <c r="Y23" s="1165">
        <f t="shared" si="14"/>
        <v>9494</v>
      </c>
      <c r="Z23" s="1165">
        <f t="shared" si="14"/>
        <v>0</v>
      </c>
      <c r="AA23" s="1165">
        <f t="shared" si="14"/>
        <v>1846</v>
      </c>
      <c r="AB23" s="1165">
        <f t="shared" si="14"/>
        <v>296</v>
      </c>
      <c r="AC23" s="1165">
        <f t="shared" si="14"/>
        <v>2142</v>
      </c>
      <c r="AD23" s="1165">
        <f t="shared" si="14"/>
        <v>0</v>
      </c>
      <c r="AE23" s="1169">
        <f t="shared" si="14"/>
        <v>0</v>
      </c>
      <c r="AF23" s="1162">
        <f t="shared" si="14"/>
        <v>0</v>
      </c>
      <c r="AG23" s="1170">
        <f t="shared" si="14"/>
        <v>0</v>
      </c>
      <c r="AH23" s="1167">
        <f t="shared" si="14"/>
        <v>0</v>
      </c>
      <c r="AI23" s="1162">
        <f t="shared" si="14"/>
        <v>775</v>
      </c>
      <c r="AJ23" s="1164">
        <f t="shared" si="14"/>
        <v>0</v>
      </c>
      <c r="AK23" s="1167">
        <f t="shared" si="14"/>
        <v>0</v>
      </c>
      <c r="AL23" s="1171">
        <f>IF(ISNUMBER(NºAsuntos!G23/NºAsuntos!E23),NºAsuntos!G23/NºAsuntos!E23," - ")</f>
        <v>0.96929641965029145</v>
      </c>
      <c r="AM23" s="1171">
        <f>IF(ISNUMBER(((NºAsuntos!I23/NºAsuntos!G23)*11)/factor_trimestre),((NºAsuntos!I23/NºAsuntos!G23)*11)/factor_trimestre," - ")</f>
        <v>2.1803929990336091</v>
      </c>
      <c r="AN23" s="1172">
        <f>IF(ISNUMBER('Resol  Asuntos'!D23/NºAsuntos!G23),'Resol  Asuntos'!D23/NºAsuntos!G23," - ")</f>
        <v>8.3217008482766031E-2</v>
      </c>
      <c r="AO23" s="1173">
        <f>IF(ISNUMBER((NºAsuntos!C23+NºAsuntos!E23)/NºAsuntos!G23),(NºAsuntos!C23+NºAsuntos!E23)/NºAsuntos!G23," - ")</f>
        <v>1.1835069258026414</v>
      </c>
      <c r="AP23" s="1174" t="str">
        <f t="shared" si="2"/>
        <v xml:space="preserve"> - </v>
      </c>
      <c r="AQ23" s="1174">
        <f>IF(ISNUMBER((H23-W23+K23)/(F23)),(H23-W23+K23)/(F23)," - ")</f>
        <v>-6.2336010709504688</v>
      </c>
      <c r="AR23" s="1175">
        <f>IF(ISNUMBER((Datos!P23-Datos!Q23)/(Datos!R23-Datos!P23+Datos!Q23)),(Datos!P23-Datos!Q23)/(Datos!R23-Datos!P23+Datos!Q23)," - ")</f>
        <v>0.25423728813559321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1535</v>
      </c>
      <c r="G31" s="1118">
        <f t="shared" si="20"/>
        <v>1455</v>
      </c>
      <c r="H31" s="1117">
        <f t="shared" si="20"/>
        <v>0</v>
      </c>
      <c r="I31" s="1119">
        <f t="shared" si="20"/>
        <v>0</v>
      </c>
      <c r="J31" s="1119">
        <f t="shared" si="20"/>
        <v>0</v>
      </c>
      <c r="K31" s="1180">
        <f t="shared" si="20"/>
        <v>0</v>
      </c>
      <c r="L31" s="1119">
        <f t="shared" si="20"/>
        <v>1540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9422</v>
      </c>
      <c r="X31" s="1118">
        <f t="shared" si="21"/>
        <v>1102</v>
      </c>
      <c r="Y31" s="1125">
        <f t="shared" si="21"/>
        <v>10524</v>
      </c>
      <c r="Z31" s="1125">
        <f t="shared" si="21"/>
        <v>0</v>
      </c>
      <c r="AA31" s="1125">
        <f t="shared" si="21"/>
        <v>1873</v>
      </c>
      <c r="AB31" s="1125">
        <f t="shared" si="21"/>
        <v>6562</v>
      </c>
      <c r="AC31" s="1125">
        <f t="shared" si="21"/>
        <v>2223</v>
      </c>
      <c r="AD31" s="1125">
        <f t="shared" si="21"/>
        <v>0</v>
      </c>
      <c r="AE31" s="1127">
        <f t="shared" si="21"/>
        <v>0</v>
      </c>
      <c r="AF31" s="1128">
        <f t="shared" si="21"/>
        <v>0</v>
      </c>
      <c r="AG31" s="1129">
        <f t="shared" si="21"/>
        <v>0</v>
      </c>
      <c r="AH31" s="1127">
        <f t="shared" si="21"/>
        <v>0</v>
      </c>
      <c r="AI31" s="1117">
        <f t="shared" si="21"/>
        <v>1918</v>
      </c>
      <c r="AJ31" s="1117">
        <f t="shared" si="21"/>
        <v>0</v>
      </c>
      <c r="AK31" s="1127">
        <f t="shared" si="21"/>
        <v>0</v>
      </c>
      <c r="AL31" s="1183">
        <f>IF(ISNUMBER(NºAsuntos!G31/NºAsuntos!E31),NºAsuntos!G31/NºAsuntos!E31," - ")</f>
        <v>0.90018298801723629</v>
      </c>
      <c r="AM31" s="1184">
        <f>IF(ISNUMBER(((NºAsuntos!I31/NºAsuntos!G31)*11)/factor_trimestre),((NºAsuntos!I31/NºAsuntos!G31)*11)/factor_trimestre," - ")</f>
        <v>4.7173770491803282</v>
      </c>
      <c r="AN31" s="1184">
        <f>IF(ISNUMBER('Resol  Asuntos'!D31/NºAsuntos!G31),'Resol  Asuntos'!D31/NºAsuntos!G31," - ")</f>
        <v>0.12577049180327868</v>
      </c>
      <c r="AO31" s="1185">
        <f>IF(ISNUMBER((NºAsuntos!C31+NºAsuntos!E31)/NºAsuntos!G31),(NºAsuntos!C31+NºAsuntos!E31)/NºAsuntos!G31," - ")</f>
        <v>1.4184918032786886</v>
      </c>
      <c r="AP31" s="1186" t="str">
        <f t="shared" si="2"/>
        <v xml:space="preserve"> - </v>
      </c>
      <c r="AQ31" s="1187">
        <f>IF(OR(ISNUMBER(FIND("01",Criterios!A8,1)),ISNUMBER(FIND("02",Criterios!A8,1)),ISNUMBER(FIND("03",Criterios!A8,1)),ISNUMBER(FIND("04",Criterios!A8,1))),(I31-W31+K31)/(F31-K31),(H31-W31+K31)/(F31-K31))</f>
        <v>-6.1381107491856675</v>
      </c>
      <c r="AR31" s="1188">
        <f>IF(ISNUMBER((Datos!P31-Datos!Q31)/(Datos!R31-Datos!P31+Datos!Q31)),(Datos!P31-Datos!Q31)/(Datos!R31-Datos!P31+Datos!Q31)," - ")</f>
        <v>7.1521881123448733E-2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2.6950246556825488</v>
      </c>
      <c r="F33" s="276">
        <f>IF(ISNUMBER(STDEV(F8:F30)),STDEV(F8:F30),"-")</f>
        <v>761.13301509438315</v>
      </c>
      <c r="G33" s="277">
        <f>IF(ISNUMBER(STDEV(G8:G30)),STDEV(G8:G30),"-")</f>
        <v>663.3663428015509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4174.3061698921892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507.38235793418863</v>
      </c>
      <c r="AJ33" s="276">
        <f t="shared" si="25"/>
        <v>0</v>
      </c>
      <c r="AK33" s="278">
        <f t="shared" si="25"/>
        <v>0</v>
      </c>
      <c r="AL33" s="273">
        <f t="shared" si="25"/>
        <v>0.12945472104818631</v>
      </c>
      <c r="AM33" s="274">
        <f t="shared" si="25"/>
        <v>3.6035028058877803</v>
      </c>
      <c r="AN33" s="274">
        <f t="shared" si="25"/>
        <v>0.11603878210479623</v>
      </c>
      <c r="AO33" s="275">
        <f t="shared" si="25"/>
        <v>0.32937018564576104</v>
      </c>
      <c r="AP33" s="317" t="str">
        <f t="shared" si="25"/>
        <v>-</v>
      </c>
      <c r="AQ33" s="318">
        <f t="shared" si="25"/>
        <v>2.5279523409360771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cJxtbcCuqj5KniVRMLNms09IJkcLHAZoqApgUQ1lYadhTy+u/KgHD9dlUmUb559UAY168FvLMVTQjOIJhTOf2g==" saltValue="n3x34uoc1QFTihBS1YX15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COSLADA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-0.49382716049382713</v>
      </c>
      <c r="E10" s="393">
        <f>IF(ISNUMBER((Datos!J10-Datos!T10)/Datos!T10),(Datos!J10-Datos!T10)/Datos!T10," - ")</f>
        <v>-0.18803418803418803</v>
      </c>
      <c r="F10" s="393">
        <f>IF(ISNUMBER((Datos!K10-Datos!U10)/Datos!U10),(Datos!K10-Datos!U10)/Datos!U10," - ")</f>
        <v>-0.30573248407643311</v>
      </c>
      <c r="G10" s="394">
        <f>IF(ISNUMBER((Datos!L10-Datos!V10)/Datos!V10),(Datos!L10-Datos!V10)/Datos!V10," - ")</f>
        <v>-0.34146341463414637</v>
      </c>
      <c r="H10" s="244">
        <f>IF(ISNUMBER((Datos!M10-Datos!W10)/Datos!W10),(Datos!M10-Datos!W10)/Datos!W10," - ")</f>
        <v>-0.32203389830508472</v>
      </c>
      <c r="I10" s="395">
        <f>IF(ISNUMBER((Tasas!C10-Datos!BE10)/Datos!BE10),(Tasas!C10-Datos!BE10)/Datos!BE10," - ")</f>
        <v>-5.1465652271201548E-2</v>
      </c>
      <c r="J10" s="394">
        <f>IF(ISNUMBER((Tasas!D10-Datos!BF10)/Datos!BF10),(Tasas!D10-Datos!BF10)/Datos!BF10," - ")</f>
        <v>-2.3480018659617494E-2</v>
      </c>
      <c r="K10" s="396">
        <f>IF(ISNUMBER((Tasas!E10-Datos!BG10)/Datos!BG10),(Tasas!E10-Datos!BG10)/Datos!BG10," - ")</f>
        <v>-1.0657029005652758E-2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-0.13422291993720564</v>
      </c>
      <c r="I12" s="395">
        <f>IF(ISNUMBER((Tasas!C12-Datos!BE12)/Datos!BE12),(Tasas!C12-Datos!BE12)/Datos!BE12," - ")</f>
        <v>0.66096963382943941</v>
      </c>
      <c r="J12" s="394">
        <f>IF(ISNUMBER((Tasas!D12-Datos!BF12)/Datos!BF12),(Tasas!D12-Datos!BF12)/Datos!BF12," - ")</f>
        <v>-0.63591151167715454</v>
      </c>
      <c r="K12" s="396">
        <f>IF(ISNUMBER((Tasas!E12-Datos!BG12)/Datos!BG12),(Tasas!E12-Datos!BG12)/Datos!BG12," - ")</f>
        <v>0.20278317108251556</v>
      </c>
      <c r="M12" t="e">
        <f>IF(Monitorios="SI",Datos!CE12,0)</f>
        <v>#REF!</v>
      </c>
      <c r="N12" t="e">
        <f>IF(Monitorios="SI",Datos!CF12,0)</f>
        <v>#REF!</v>
      </c>
      <c r="O12" t="e">
        <f>IF(Monitorios="SI",Datos!CG12,0)</f>
        <v>#REF!</v>
      </c>
      <c r="P12" t="e">
        <f>IF(Monitorios="SI",Datos!CH12,0)</f>
        <v>#REF!</v>
      </c>
      <c r="Q12">
        <f>IF(J_V="SI",0,Datos!AG12)</f>
        <v>145</v>
      </c>
      <c r="R12">
        <f>IF(J_V="SI",0,Datos!AH12)</f>
        <v>613</v>
      </c>
      <c r="S12">
        <f>IF(J_V="SI",0,Datos!AI12)</f>
        <v>629</v>
      </c>
      <c r="T12">
        <f>IF(J_V="SI",0,Datos!AJ12)</f>
        <v>125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-0.14253563390847712</v>
      </c>
      <c r="I14" s="402">
        <f>IF(ISNUMBER((Tasas!C14-Datos!BE14)/Datos!BE14),(Tasas!C14-Datos!BE14)/Datos!BE14," - ")</f>
        <v>0.65726939907992321</v>
      </c>
      <c r="J14" s="400">
        <f>IF(ISNUMBER((Tasas!D14-Datos!BF14)/Datos!BF14),(Tasas!D14-Datos!BF14)/Datos!BF14," - ")</f>
        <v>-0.62727451658422451</v>
      </c>
      <c r="K14" s="403">
        <f>IF(ISNUMBER((Tasas!E14-Datos!BG14)/Datos!BG14),(Tasas!E14-Datos!BG14)/Datos!BG14," - ")</f>
        <v>0.20031047289852014</v>
      </c>
      <c r="M14" t="e">
        <f>IF(Monitorios="SI",Datos!CE14,0)</f>
        <v>#REF!</v>
      </c>
      <c r="N14" t="e">
        <f>IF(Monitorios="SI",Datos!CF14,0)</f>
        <v>#REF!</v>
      </c>
      <c r="O14" t="e">
        <f>IF(Monitorios="SI",Datos!CG14,0)</f>
        <v>#REF!</v>
      </c>
      <c r="P14" t="e">
        <f>IF(Monitorios="SI",Datos!CH14,0)</f>
        <v>#REF!</v>
      </c>
      <c r="Q14">
        <f>IF(J_V="SI",0,Datos!AG14)</f>
        <v>145</v>
      </c>
      <c r="R14">
        <f>IF(J_V="SI",0,Datos!AH14)</f>
        <v>613</v>
      </c>
      <c r="S14">
        <f>IF(J_V="SI",0,Datos!AI14)</f>
        <v>629</v>
      </c>
      <c r="T14">
        <f>IF(J_V="SI",0,Datos!AJ14)</f>
        <v>125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-0.18143459915611815</v>
      </c>
      <c r="E17" s="393">
        <f>IF(ISNUMBER(
   IF(D_I="SI",(Datos!J17-Datos!T17)/Datos!T17,(Datos!J17+Datos!AD17-(Datos!T17+Datos!AL17))/(Datos!T17+Datos!AL17))
     ),IF(D_I="SI",(Datos!J17-Datos!T17)/Datos!T17,(Datos!J17+Datos!AD17-(Datos!T17+Datos!AL17))/(Datos!T17+Datos!AL17))," - ")</f>
        <v>6.0311526479750778E-2</v>
      </c>
      <c r="F17" s="393">
        <f>IF(ISNUMBER(
   IF(D_I="SI",(Datos!K17-Datos!U17)/Datos!U17,(Datos!K17+Datos!AE17-(Datos!U17+Datos!AM17))/(Datos!U17+Datos!AM17))
     ),IF(D_I="SI",(Datos!K17-Datos!U17)/Datos!U17,(Datos!K17+Datos!AE17-(Datos!U17+Datos!AM17))/(Datos!U17+Datos!AM17))," - ")</f>
        <v>-3.777126099706745E-2</v>
      </c>
      <c r="G17" s="394">
        <f>IF(ISNUMBER(
   IF(D_I="SI",(Datos!L17-Datos!V17)/Datos!V17,(Datos!L17+Datos!AF17-(Datos!V17+Datos!AN17))/(Datos!V17+Datos!AN17))
     ),IF(D_I="SI",(Datos!L17-Datos!V17)/Datos!V17,(Datos!L17+Datos!AF17-(Datos!V17+Datos!AN17))/(Datos!V17+Datos!AN17))," - ")</f>
        <v>0.32547864506627394</v>
      </c>
      <c r="H17" s="244">
        <f>IF(ISNUMBER((Datos!M17-Datos!W17)/Datos!W17),(Datos!M17-Datos!W17)/Datos!W17," - ")</f>
        <v>-0.19004524886877827</v>
      </c>
      <c r="I17" s="395">
        <f>IF(ISNUMBER((Tasas!C17-Datos!BE17)/Datos!BE17),(Tasas!C17-Datos!BE17)/Datos!BE17," - ")</f>
        <v>0.37750889298914853</v>
      </c>
      <c r="J17" s="394">
        <f>IF(ISNUMBER((Tasas!D17-Datos!BF17)/Datos!BF17),(Tasas!D17-Datos!BF17)/Datos!BF17," - ")</f>
        <v>-0.15825134055910461</v>
      </c>
      <c r="K17" s="396">
        <f>IF(ISNUMBER((Tasas!E17-Datos!BG17)/Datos!BG17),(Tasas!E17-Datos!BG17)/Datos!BG17," - ")</f>
        <v>5.8892868855517373E-2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-0.61111111111111116</v>
      </c>
      <c r="E18" s="393">
        <f>IF(ISNUMBER(
   IF(D_I="SI",(Datos!J18-Datos!T18)/Datos!T18,(Datos!J18+Datos!AD18-(Datos!T18+Datos!AL18))/(Datos!T18+Datos!AL18))
     ),IF(D_I="SI",(Datos!J18-Datos!T18)/Datos!T18,(Datos!J18+Datos!AD18-(Datos!T18+Datos!AL18))/(Datos!T18+Datos!AL18))," - ")</f>
        <v>-5.4298642533936649E-3</v>
      </c>
      <c r="F18" s="393">
        <f>IF(ISNUMBER(
   IF(D_I="SI",(Datos!K18-Datos!U18)/Datos!U18,(Datos!K18+Datos!AE18-(Datos!U18+Datos!AM18))/(Datos!U18+Datos!AM18))
     ),IF(D_I="SI",(Datos!K18-Datos!U18)/Datos!U18,(Datos!K18+Datos!AE18-(Datos!U18+Datos!AM18))/(Datos!U18+Datos!AM18))," - ")</f>
        <v>-7.1129707112970716E-2</v>
      </c>
      <c r="G18" s="394">
        <f>IF(ISNUMBER(
   IF(D_I="SI",(Datos!L18-Datos!V18)/Datos!V18,(Datos!L18+Datos!AF18-(Datos!V18+Datos!AN18))/(Datos!V18+Datos!AN18))
     ),IF(D_I="SI",(Datos!L18-Datos!V18)/Datos!V18,(Datos!L18+Datos!AF18-(Datos!V18+Datos!AN18))/(Datos!V18+Datos!AN18))," - ")</f>
        <v>-0.17857142857142858</v>
      </c>
      <c r="H18" s="244">
        <f>IF(ISNUMBER((Datos!M18-Datos!W18)/Datos!W18),(Datos!M18-Datos!W18)/Datos!W18," - ")</f>
        <v>0.20408163265306123</v>
      </c>
      <c r="I18" s="395">
        <f>IF(ISNUMBER((Tasas!C18-Datos!BE18)/Datos!BE18),(Tasas!C18-Datos!BE18)/Datos!BE18," - ")</f>
        <v>-0.1156692406692407</v>
      </c>
      <c r="J18" s="394">
        <f>IF(ISNUMBER((Tasas!D18-Datos!BF18)/Datos!BF18),(Tasas!D18-Datos!BF18)/Datos!BF18," - ")</f>
        <v>0.29628608200036771</v>
      </c>
      <c r="K18" s="396">
        <f>IF(ISNUMBER((Tasas!E18-Datos!BG18)/Datos!BG18),(Tasas!E18-Datos!BG18)/Datos!BG18," - ")</f>
        <v>-4.446800683790296E-3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-0.21575152523571825</v>
      </c>
      <c r="E23" s="399">
        <f>IF(ISNUMBER(
   IF(D_I="SI",(Datos!J23-Datos!T23)/Datos!T23,(Datos!J23+Datos!AD23-(Datos!T23+Datos!AL23))/(Datos!T23+Datos!AL23))
     ),IF(D_I="SI",(Datos!J23-Datos!T23)/Datos!T23,(Datos!J23+Datos!AD23-(Datos!T23+Datos!AL23))/(Datos!T23+Datos!AL23))," - ")</f>
        <v>5.2354874041621029E-2</v>
      </c>
      <c r="F23" s="399">
        <f>IF(ISNUMBER(
   IF(D_I="SI",(Datos!K23-Datos!U23)/Datos!U23,(Datos!K23+Datos!AE23-(Datos!U23+Datos!AM23))/(Datos!U23+Datos!AM23))
     ),IF(D_I="SI",(Datos!K23-Datos!U23)/Datos!U23,(Datos!K23+Datos!AE23-(Datos!U23+Datos!AM23))/(Datos!U23+Datos!AM23))," - ")</f>
        <v>-4.1872427983539094E-2</v>
      </c>
      <c r="G23" s="400">
        <f>IF(ISNUMBER(
   IF(D_I="SI",(Datos!L23-Datos!V23)/Datos!V23,(Datos!L23+Datos!AF23-(Datos!V23+Datos!AN23))/(Datos!V23+Datos!AN23))
     ),IF(D_I="SI",(Datos!L23-Datos!V23)/Datos!V23,(Datos!L23+Datos!AF23-(Datos!V23+Datos!AN23))/(Datos!V23+Datos!AN23))," - ")</f>
        <v>0.30551626591230552</v>
      </c>
      <c r="H23" s="401">
        <f>IF(ISNUMBER((Datos!M23-Datos!W23)/Datos!W23),(Datos!M23-Datos!W23)/Datos!W23," - ")</f>
        <v>-0.16934619506966775</v>
      </c>
      <c r="I23" s="402">
        <f>IF(ISNUMBER((Tasas!C23-Datos!BE23)/Datos!BE23),(Tasas!C23-Datos!BE23)/Datos!BE23," - ")</f>
        <v>0.36257039672153002</v>
      </c>
      <c r="J23" s="400">
        <f>IF(ISNUMBER((Tasas!D23-Datos!BF23)/Datos!BF23),(Tasas!D23-Datos!BF23)/Datos!BF23," - ")</f>
        <v>-0.1330446704689327</v>
      </c>
      <c r="K23" s="403">
        <f>IF(ISNUMBER((Tasas!E23-Datos!BG23)/Datos!BG23),(Tasas!E23-Datos!BG23)/Datos!BG23," - ")</f>
        <v>5.2198602286808234E-2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-0.11205754306265379</v>
      </c>
      <c r="E31" s="409">
        <f>IF(ISNUMBER(
   IF(J_V="SI",(Datos!J31-Datos!T31)/Datos!T31,(Datos!J31+Datos!Z31-(Datos!T31+Datos!AH31))/(Datos!T31+Datos!AH31))
     ),IF(J_V="SI",(Datos!J31-Datos!T31)/Datos!T31,(Datos!J31+Datos!Z31-(Datos!T31+Datos!AH31))/(Datos!T31+Datos!AH31))," - ")</f>
        <v>6.7015179190023311E-2</v>
      </c>
      <c r="F31" s="409">
        <f>IF(ISNUMBER(
   IF(J_V="SI",(Datos!K31-Datos!U31)/Datos!U31,(Datos!K31+Datos!AA31-(Datos!U31+Datos!AI31))/(Datos!U31+Datos!AI31))
     ),IF(J_V="SI",(Datos!K31-Datos!U31)/Datos!U31,(Datos!K31+Datos!AA31-(Datos!U31+Datos!AI31))/(Datos!U31+Datos!AI31))," - ")</f>
        <v>-8.0716137199348961E-2</v>
      </c>
      <c r="G31" s="410">
        <f>IF(ISNUMBER(
   IF(J_V="SI",(Datos!L31-Datos!V31)/Datos!V31,(Datos!L31+Datos!AB31-(Datos!V31+Datos!AJ31))/(Datos!V31+Datos!AJ31))
     ),IF(J_V="SI",(Datos!L31-Datos!V31)/Datos!V31,(Datos!L31+Datos!AB31-(Datos!V31+Datos!AJ31))/(Datos!V31+Datos!AJ31))," - ")</f>
        <v>0.39415902792581536</v>
      </c>
      <c r="H31" s="411">
        <f>IF(ISNUMBER((Datos!M31-Datos!W31)/Datos!W31),(Datos!M31-Datos!W31)/Datos!W31," - ")</f>
        <v>-0.15357458075904679</v>
      </c>
      <c r="I31" s="408">
        <f>IF(ISNUMBER((Tasas!C31-Datos!BE31)/Datos!BE31),(Tasas!C31-Datos!BE31)/Datos!BE31," - ")</f>
        <v>0.51657076159090831</v>
      </c>
      <c r="J31" s="409">
        <f>IF(ISNUMBER((Tasas!D31-Datos!BF31)/Datos!BF31),(Tasas!D31-Datos!BF31)/Datos!BF31," - ")</f>
        <v>-0.53438815252742922</v>
      </c>
      <c r="K31" s="410">
        <f>IF(ISNUMBER((Tasas!E31-Datos!BG31)/Datos!BG31),(Tasas!E31-Datos!BG31)/Datos!BG31," - ")</f>
        <v>0.1120680777216525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0.21031315041715307</v>
      </c>
      <c r="E33" s="303">
        <f t="shared" si="1"/>
        <v>0.1156615568875918</v>
      </c>
      <c r="F33" s="303">
        <f t="shared" si="1"/>
        <v>0.12859801810113522</v>
      </c>
      <c r="G33" s="304">
        <f t="shared" si="1"/>
        <v>0.3389609228248297</v>
      </c>
      <c r="H33" s="310">
        <f t="shared" si="1"/>
        <v>0.17533071801388264</v>
      </c>
      <c r="I33" s="302">
        <f t="shared" si="1"/>
        <v>0.33549559435590914</v>
      </c>
      <c r="J33" s="303">
        <f t="shared" si="1"/>
        <v>0.36198223070877222</v>
      </c>
      <c r="K33" s="304">
        <f t="shared" si="1"/>
        <v>9.5977103694918561E-2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Ao4DmSI1UDfz1pxUvIwoPXfk7MwvfDfm30aTJOxzZxZjJvka9Nbx1A9FS+Akz/pcBpEntZ3ez19GICvj+UBow==" saltValue="9fI6VUADV1sQ82FjFyd9y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